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4235" windowHeight="7650" activeTab="0"/>
  </bookViews>
  <sheets>
    <sheet name="Лист1" sheetId="1" r:id="rId1"/>
    <sheet name="Свод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</sheets>
  <definedNames>
    <definedName name="_xlnm.Print_Area" localSheetId="0">'Лист1'!$A$1:$R$95</definedName>
  </definedNames>
  <calcPr fullCalcOnLoad="1"/>
</workbook>
</file>

<file path=xl/sharedStrings.xml><?xml version="1.0" encoding="utf-8"?>
<sst xmlns="http://schemas.openxmlformats.org/spreadsheetml/2006/main" count="1737" uniqueCount="202">
  <si>
    <t>Исполнитель:</t>
  </si>
  <si>
    <t>многоквартирного дома</t>
  </si>
  <si>
    <t>отчетный период</t>
  </si>
  <si>
    <t>№п/п</t>
  </si>
  <si>
    <t>Наименование работ</t>
  </si>
  <si>
    <t>ед. изм.</t>
  </si>
  <si>
    <t>кол-во</t>
  </si>
  <si>
    <t>примечание</t>
  </si>
  <si>
    <t>Заказчик:     Собственники жилого дома по адресу:</t>
  </si>
  <si>
    <t>ИТОГО ПО АКТУ ВЫПОЛНЕННЫХ РАБОТ</t>
  </si>
  <si>
    <t>Обслуживающая организация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</si>
  <si>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Г.М. Жериченко</t>
    </r>
    <r>
      <rPr>
        <sz val="11"/>
        <color indexed="8"/>
        <rFont val="Times New Roman"/>
        <family val="1"/>
      </rPr>
      <t>/</t>
    </r>
  </si>
  <si>
    <t>мес.</t>
  </si>
  <si>
    <t>стоимость 
работ, руб</t>
  </si>
  <si>
    <t>Итого</t>
  </si>
  <si>
    <t>Вывоз и утилизация ТБО</t>
  </si>
  <si>
    <t>Дератизация, дезинсекция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</si>
  <si>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</si>
  <si>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</si>
  <si>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</si>
  <si>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</si>
  <si>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</si>
  <si>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</si>
  <si>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</si>
  <si>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</si>
  <si>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</si>
  <si>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</si>
  <si>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стоимость
материалов руб</t>
  </si>
  <si>
    <t>Наименование услуги</t>
  </si>
  <si>
    <t>стоимость работ, руб</t>
  </si>
  <si>
    <t>Примечание</t>
  </si>
  <si>
    <t>Представитель собственников</t>
  </si>
  <si>
    <t>Вывоз КГО</t>
  </si>
  <si>
    <t>Обслуживание домофона</t>
  </si>
  <si>
    <t>Вознаграждение председателю совета МКД</t>
  </si>
  <si>
    <t>Электроэнергия</t>
  </si>
  <si>
    <t xml:space="preserve">Отопление </t>
  </si>
  <si>
    <t>Горячая вода</t>
  </si>
  <si>
    <t xml:space="preserve">Холодная вода </t>
  </si>
  <si>
    <t>Водоотведение</t>
  </si>
  <si>
    <t>Всего по коммунальным услугам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</si>
  <si>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</si>
  <si>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</si>
  <si>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</si>
  <si>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</si>
  <si>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</si>
  <si>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</si>
  <si>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</si>
  <si>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</si>
  <si>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</si>
  <si>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</si>
  <si>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</si>
  <si>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</si>
  <si>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</si>
  <si>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</si>
  <si>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</si>
  <si>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</si>
  <si>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</si>
  <si>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 xml:space="preserve"> </t>
  </si>
  <si>
    <t>Домофон</t>
  </si>
  <si>
    <t>Прочие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</si>
  <si>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</si>
  <si>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</si>
  <si>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</si>
  <si>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</si>
  <si>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Холодная вода ОДН</t>
  </si>
  <si>
    <t>Водоотведение ОДН</t>
  </si>
  <si>
    <t>Электроэнергия ОДН</t>
  </si>
  <si>
    <t>Отопление</t>
  </si>
  <si>
    <t>Горячая вода ОДН</t>
  </si>
  <si>
    <t>г/вода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</si>
  <si>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</si>
  <si>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</si>
  <si>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</si>
  <si>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</si>
  <si>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</si>
  <si>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</si>
  <si>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</si>
  <si>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</si>
  <si>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Недоборы</t>
  </si>
  <si>
    <t xml:space="preserve">х/вода </t>
  </si>
  <si>
    <t xml:space="preserve"> водоотведение</t>
  </si>
  <si>
    <t>электроэнергия</t>
  </si>
  <si>
    <t>Директор</t>
  </si>
  <si>
    <t>Г.М.Жериченко</t>
  </si>
  <si>
    <t>Гл.бухгалтер</t>
  </si>
  <si>
    <t>Т.В. Табаргина</t>
  </si>
  <si>
    <t>горячая вода</t>
  </si>
  <si>
    <t>уборщик территории</t>
  </si>
  <si>
    <t>уборщик лестничных клеток</t>
  </si>
  <si>
    <t>материалы, инвентарь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</si>
  <si>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</si>
  <si>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</si>
  <si>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</si>
  <si>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1.9</t>
  </si>
  <si>
    <t>1.10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</si>
  <si>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</si>
  <si>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</si>
  <si>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</si>
  <si>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Услуги по начислению платежей и взносов</t>
  </si>
  <si>
    <t>Услуги паспортного стола</t>
  </si>
  <si>
    <t>Итого расходов по ЖУ</t>
  </si>
  <si>
    <t>Итого расходов по КУ</t>
  </si>
  <si>
    <t>6. Коммунальные услуги</t>
  </si>
  <si>
    <t>Покос травы</t>
  </si>
  <si>
    <t>Итого доходов по ЖУ</t>
  </si>
  <si>
    <t>ООО "Каскад-Сервис"</t>
  </si>
  <si>
    <t>Сбор и транспортировка ТКО</t>
  </si>
  <si>
    <t>Содержание  мест общего пользов.</t>
  </si>
  <si>
    <t>выполненных работ по содержанию и текущему ремонту общего имущества</t>
  </si>
  <si>
    <t>1.</t>
  </si>
  <si>
    <t>Работы, необходимые для надлежащего содержания конструктивов, оборудования, систем инженерно-технического обеспечения, входящих в состав общего имущества в МКД и по надлежащему содержанию мест общего пользования и придомовой территории.</t>
  </si>
  <si>
    <t>Работы по содержанию придомовой 
территории.</t>
  </si>
  <si>
    <t>Работы по содержанию помещений, входящих в состав общего имущества в МКД:</t>
  </si>
  <si>
    <t>Содержание конструкций МКД</t>
  </si>
  <si>
    <t>Содержание инженерного оборудования МКД</t>
  </si>
  <si>
    <t>Аварийно-диспетчерское обслуживание</t>
  </si>
  <si>
    <t>Админ.-управленческое и инж.-техническое 
сопровождение</t>
  </si>
  <si>
    <t>Всего по разделу:</t>
  </si>
  <si>
    <t>2.</t>
  </si>
  <si>
    <t>Текущий ремонт конструктивов, оборудования, систем инженерно -технического обеспечения, входящих в состав общего имущества в МКД</t>
  </si>
  <si>
    <t>Текущий ремонт конструктивных элементов МКД</t>
  </si>
  <si>
    <t>Всего по разделу № 2:</t>
  </si>
  <si>
    <t>Всего по жилищным услугам:</t>
  </si>
  <si>
    <t>Текущий ремонт инженерного оборудования МКД</t>
  </si>
  <si>
    <t>Текущий ремонт конструктивных элементов МКД, в т.ч.:</t>
  </si>
  <si>
    <t>Текущий ремонт инженерного оборудования
 МКД, в т.ч.:</t>
  </si>
  <si>
    <t>Админ.-управленческое и инженерно-техническое сопровождение</t>
  </si>
  <si>
    <t>Сальдо на
01.01.2017г</t>
  </si>
  <si>
    <t>в т.ч. Дополнительные работы</t>
  </si>
  <si>
    <t>Ремонт мест общего пользования</t>
  </si>
  <si>
    <t>3</t>
  </si>
  <si>
    <t>4</t>
  </si>
  <si>
    <t>1.11</t>
  </si>
  <si>
    <t>1.12</t>
  </si>
  <si>
    <t>1.13</t>
  </si>
  <si>
    <t>1.14</t>
  </si>
  <si>
    <t>ул. Мичурина,9</t>
  </si>
  <si>
    <t>АКТ № 01/9 от  31 января 2017г.</t>
  </si>
  <si>
    <t>АКТ № 02/9 от  28 февраля 2017г.</t>
  </si>
  <si>
    <t>01.01.2017 - 31.01.2017</t>
  </si>
  <si>
    <t>01.12.2017 - 31.12.2017</t>
  </si>
  <si>
    <t>Очистка крыши от снега</t>
  </si>
  <si>
    <t>01.05.2017 - 31.05.2017</t>
  </si>
  <si>
    <r>
      <t>__________________</t>
    </r>
    <r>
      <rPr>
        <u val="single"/>
        <sz val="11"/>
        <color indexed="8"/>
        <rFont val="Times New Roman"/>
        <family val="1"/>
      </rPr>
      <t xml:space="preserve">/Птахина С Г </t>
    </r>
    <r>
      <rPr>
        <sz val="11"/>
        <color indexed="8"/>
        <rFont val="Times New Roman"/>
        <family val="1"/>
      </rPr>
      <t>/</t>
    </r>
  </si>
  <si>
    <t>01.02.2017 - 31.02.2017</t>
  </si>
  <si>
    <t>засор канализации</t>
  </si>
  <si>
    <t>Нежилые помещения</t>
  </si>
  <si>
    <t>Холодная вода ОДН ЖУ</t>
  </si>
  <si>
    <t>Водоотведение ОДН ЖУ</t>
  </si>
  <si>
    <t>Горячая вода ОДН ЖУ</t>
  </si>
  <si>
    <t>Электроэнергия ОДН ЖУ</t>
  </si>
  <si>
    <t>АКТ № 01/9 от  31марта 2017г.</t>
  </si>
  <si>
    <t>01.03.2017 - 31.03.2017</t>
  </si>
  <si>
    <t>01.04.2017 - 30.04.2017</t>
  </si>
  <si>
    <t>АКТ № 04/9 от  30 апреля 2017г.</t>
  </si>
  <si>
    <t>ОДН ЖУ(неж)</t>
  </si>
  <si>
    <t>пр.Строителей,42</t>
  </si>
  <si>
    <t>ООО УК "Каскад-Сервис"</t>
  </si>
  <si>
    <t>ООО УК"Каскад-Сервис"</t>
  </si>
  <si>
    <t>ОООУК "Каскад-Сервис"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</si>
  <si>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В.А.Пянзина</t>
    </r>
    <r>
      <rPr>
        <sz val="11"/>
        <color indexed="8"/>
        <rFont val="Times New Roman"/>
        <family val="1"/>
      </rPr>
      <t>/</t>
    </r>
  </si>
  <si>
    <t>Вознограждение старшему дома</t>
  </si>
  <si>
    <t>АКТ № 05/42 от  31мая 2017г.</t>
  </si>
  <si>
    <t>АКТ № 12/42 от  31 декабря 2017г.</t>
  </si>
  <si>
    <r>
      <t>__________________</t>
    </r>
    <r>
      <rPr>
        <u val="single"/>
        <sz val="11"/>
        <color indexed="8"/>
        <rFont val="Times New Roman"/>
        <family val="1"/>
      </rPr>
      <t xml:space="preserve">/Муравьев В.В. </t>
    </r>
    <r>
      <rPr>
        <sz val="11"/>
        <color indexed="8"/>
        <rFont val="Times New Roman"/>
        <family val="1"/>
      </rPr>
      <t>/</t>
    </r>
  </si>
  <si>
    <r>
      <t>__________________</t>
    </r>
    <r>
      <rPr>
        <u val="single"/>
        <sz val="11"/>
        <color indexed="8"/>
        <rFont val="Times New Roman"/>
        <family val="1"/>
      </rPr>
      <t xml:space="preserve">/Муравьев В В   </t>
    </r>
    <r>
      <rPr>
        <sz val="11"/>
        <color indexed="8"/>
        <rFont val="Times New Roman"/>
        <family val="1"/>
      </rPr>
      <t>/</t>
    </r>
  </si>
  <si>
    <r>
      <t>__________________</t>
    </r>
    <r>
      <rPr>
        <u val="single"/>
        <sz val="11"/>
        <color indexed="8"/>
        <rFont val="Times New Roman"/>
        <family val="1"/>
      </rPr>
      <t xml:space="preserve">/Муравьев В В  </t>
    </r>
    <r>
      <rPr>
        <sz val="11"/>
        <color indexed="8"/>
        <rFont val="Times New Roman"/>
        <family val="1"/>
      </rPr>
      <t>/</t>
    </r>
  </si>
  <si>
    <t>Свод доходов по пр.Строителей,42  за 2017 год.</t>
  </si>
  <si>
    <t>РАСШИФРОВКА РАСХОДОВ   пр.строителей,42 за 2017 год..</t>
  </si>
  <si>
    <t xml:space="preserve">Коммунальные услуги </t>
  </si>
  <si>
    <t>АКТ № 01/42 от  30 июня 2017г.</t>
  </si>
  <si>
    <t>01.06.2017 - 31.06.2017</t>
  </si>
  <si>
    <t>АКТ № 07/42 от  31 июля 2017г.</t>
  </si>
  <si>
    <t>01.07.2016 - 31.07.2017</t>
  </si>
  <si>
    <t>покос травы</t>
  </si>
  <si>
    <t>обслуживание домофона</t>
  </si>
  <si>
    <r>
      <t>__________________</t>
    </r>
    <r>
      <rPr>
        <u val="single"/>
        <sz val="11"/>
        <color indexed="8"/>
        <rFont val="Times New Roman"/>
        <family val="1"/>
      </rPr>
      <t xml:space="preserve">/  </t>
    </r>
    <r>
      <rPr>
        <sz val="11"/>
        <color indexed="8"/>
        <rFont val="Times New Roman"/>
        <family val="1"/>
      </rPr>
      <t>/</t>
    </r>
  </si>
  <si>
    <r>
      <t>__________________</t>
    </r>
    <r>
      <rPr>
        <u val="single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/</t>
    </r>
  </si>
  <si>
    <t>Поверка приборов учета</t>
  </si>
  <si>
    <t>АКТ № 08/42 от  31 августа 2017г.</t>
  </si>
  <si>
    <t>01.08.2017 - 31.08.2017</t>
  </si>
  <si>
    <t>АКТ № 09/42 от  30 сентября  2017г.</t>
  </si>
  <si>
    <t>01.09.2016 - 30.09.2017</t>
  </si>
  <si>
    <t>АКТ № 10/42 от  31 октября 2017г.</t>
  </si>
  <si>
    <t>01.10.2017 - 31.10.2016</t>
  </si>
  <si>
    <t>АКТ № 11/42 от  30 ноября 2017г.</t>
  </si>
  <si>
    <t>01.11.2017 - 31.11.2017</t>
  </si>
  <si>
    <t>Коммунальные услуги (нежилые)</t>
  </si>
  <si>
    <t>реклама</t>
  </si>
  <si>
    <t>Засор канализации</t>
  </si>
  <si>
    <t>Ремонт розлива отопления</t>
  </si>
  <si>
    <t>очистка крыши от снега</t>
  </si>
  <si>
    <t>Ремонт розлива холодного водоснабжения</t>
  </si>
  <si>
    <t>Ремонт розлива  холодного водоснабжения</t>
  </si>
  <si>
    <t>Вознаграждение пред. совета МКД</t>
  </si>
  <si>
    <t>В.А.Пянзина</t>
  </si>
  <si>
    <t>Сальдо на
01.05.2017г</t>
  </si>
  <si>
    <t>С начала
периода</t>
  </si>
  <si>
    <t>Оплата за период</t>
  </si>
  <si>
    <t>Сальдо на
31.12.2017г</t>
  </si>
  <si>
    <t>РАСШИФРОВКА РАСХОДОВ   пр.Строителей,42 за 2017 год..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</si>
</sst>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6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2" fontId="17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1" fillId="0" borderId="11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wrapText="1"/>
    </xf>
    <xf numFmtId="2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2" fontId="22" fillId="0" borderId="15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left"/>
    </xf>
    <xf numFmtId="2" fontId="27" fillId="0" borderId="10" xfId="0" applyNumberFormat="1" applyFont="1" applyFill="1" applyBorder="1" applyAlignment="1">
      <alignment horizontal="right"/>
    </xf>
    <xf numFmtId="2" fontId="28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left"/>
    </xf>
    <xf numFmtId="2" fontId="26" fillId="0" borderId="10" xfId="0" applyNumberFormat="1" applyFont="1" applyFill="1" applyBorder="1" applyAlignment="1">
      <alignment horizontal="right"/>
    </xf>
    <xf numFmtId="2" fontId="26" fillId="0" borderId="12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2" fontId="12" fillId="0" borderId="12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/>
    </xf>
    <xf numFmtId="0" fontId="17" fillId="24" borderId="0" xfId="0" applyFont="1" applyFill="1" applyAlignment="1">
      <alignment horizontal="left"/>
    </xf>
    <xf numFmtId="49" fontId="14" fillId="0" borderId="15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26" fillId="0" borderId="12" xfId="0" applyFont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2" fontId="26" fillId="0" borderId="12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7" fillId="0" borderId="12" xfId="0" applyFont="1" applyBorder="1" applyAlignment="1">
      <alignment/>
    </xf>
    <xf numFmtId="2" fontId="26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27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2" fontId="26" fillId="0" borderId="11" xfId="0" applyNumberFormat="1" applyFont="1" applyBorder="1" applyAlignment="1">
      <alignment/>
    </xf>
    <xf numFmtId="0" fontId="31" fillId="0" borderId="12" xfId="0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9" fontId="22" fillId="0" borderId="10" xfId="0" applyNumberFormat="1" applyFont="1" applyFill="1" applyBorder="1" applyAlignment="1">
      <alignment horizontal="left"/>
    </xf>
    <xf numFmtId="0" fontId="17" fillId="24" borderId="11" xfId="0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3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right"/>
    </xf>
    <xf numFmtId="0" fontId="33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2" fontId="16" fillId="0" borderId="11" xfId="0" applyNumberFormat="1" applyFont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right"/>
    </xf>
    <xf numFmtId="0" fontId="26" fillId="0" borderId="16" xfId="0" applyFont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12" xfId="0" applyFont="1" applyFill="1" applyBorder="1" applyAlignment="1">
      <alignment horizontal="right"/>
    </xf>
    <xf numFmtId="2" fontId="13" fillId="0" borderId="0" xfId="0" applyNumberFormat="1" applyFont="1" applyFill="1" applyAlignment="1">
      <alignment/>
    </xf>
    <xf numFmtId="0" fontId="12" fillId="0" borderId="10" xfId="0" applyFont="1" applyBorder="1" applyAlignment="1">
      <alignment wrapText="1"/>
    </xf>
    <xf numFmtId="2" fontId="21" fillId="0" borderId="15" xfId="0" applyNumberFormat="1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2" fontId="21" fillId="0" borderId="16" xfId="0" applyNumberFormat="1" applyFont="1" applyBorder="1" applyAlignment="1">
      <alignment wrapText="1"/>
    </xf>
    <xf numFmtId="0" fontId="26" fillId="0" borderId="15" xfId="0" applyFont="1" applyBorder="1" applyAlignment="1">
      <alignment/>
    </xf>
    <xf numFmtId="0" fontId="26" fillId="0" borderId="16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2" fontId="12" fillId="0" borderId="16" xfId="0" applyNumberFormat="1" applyFont="1" applyFill="1" applyBorder="1" applyAlignment="1">
      <alignment horizontal="right"/>
    </xf>
    <xf numFmtId="2" fontId="26" fillId="0" borderId="16" xfId="0" applyNumberFormat="1" applyFont="1" applyFill="1" applyBorder="1" applyAlignment="1">
      <alignment horizontal="right"/>
    </xf>
    <xf numFmtId="2" fontId="26" fillId="0" borderId="16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2" fontId="31" fillId="0" borderId="12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2" fontId="21" fillId="0" borderId="12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1" fillId="0" borderId="15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1" fillId="0" borderId="18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SheetLayoutView="100" zoomScalePageLayoutView="0" workbookViewId="0" topLeftCell="A63">
      <selection activeCell="T6" sqref="T6"/>
    </sheetView>
  </sheetViews>
  <sheetFormatPr defaultColWidth="9.140625" defaultRowHeight="15"/>
  <cols>
    <col min="1" max="1" width="4.00390625" style="102" customWidth="1"/>
    <col min="2" max="2" width="41.8515625" style="102" customWidth="1"/>
    <col min="3" max="3" width="11.140625" style="102" customWidth="1"/>
    <col min="4" max="4" width="12.00390625" style="102" hidden="1" customWidth="1"/>
    <col min="5" max="5" width="10.8515625" style="102" hidden="1" customWidth="1"/>
    <col min="6" max="6" width="4.7109375" style="102" hidden="1" customWidth="1"/>
    <col min="7" max="7" width="6.7109375" style="102" hidden="1" customWidth="1"/>
    <col min="8" max="8" width="12.140625" style="102" hidden="1" customWidth="1"/>
    <col min="9" max="9" width="10.8515625" style="102" hidden="1" customWidth="1"/>
    <col min="10" max="10" width="11.57421875" style="102" hidden="1" customWidth="1"/>
    <col min="11" max="11" width="10.8515625" style="102" hidden="1" customWidth="1"/>
    <col min="12" max="12" width="11.421875" style="102" hidden="1" customWidth="1"/>
    <col min="13" max="14" width="10.8515625" style="102" hidden="1" customWidth="1"/>
    <col min="15" max="15" width="11.140625" style="102" hidden="1" customWidth="1"/>
    <col min="16" max="16" width="12.00390625" style="102" bestFit="1" customWidth="1"/>
    <col min="17" max="17" width="13.57421875" style="102" bestFit="1" customWidth="1"/>
    <col min="18" max="18" width="13.00390625" style="102" bestFit="1" customWidth="1"/>
    <col min="19" max="19" width="13.140625" style="101" bestFit="1" customWidth="1"/>
    <col min="20" max="20" width="13.00390625" style="102" bestFit="1" customWidth="1"/>
    <col min="21" max="21" width="12.421875" style="102" bestFit="1" customWidth="1"/>
    <col min="22" max="22" width="10.57421875" style="102" bestFit="1" customWidth="1"/>
    <col min="23" max="23" width="9.140625" style="102" customWidth="1"/>
    <col min="24" max="24" width="11.00390625" style="102" bestFit="1" customWidth="1"/>
    <col min="25" max="25" width="9.140625" style="102" customWidth="1"/>
    <col min="26" max="26" width="10.57421875" style="102" bestFit="1" customWidth="1"/>
    <col min="27" max="16384" width="9.140625" style="102" customWidth="1"/>
  </cols>
  <sheetData>
    <row r="1" spans="2:19" s="41" customFormat="1" ht="20.25" customHeight="1">
      <c r="B1" s="185" t="s">
        <v>168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42"/>
    </row>
    <row r="2" spans="2:19" s="43" customFormat="1" ht="25.5">
      <c r="B2" s="44"/>
      <c r="C2" s="45" t="s">
        <v>197</v>
      </c>
      <c r="D2" s="46" t="s">
        <v>42</v>
      </c>
      <c r="E2" s="46" t="s">
        <v>43</v>
      </c>
      <c r="F2" s="46" t="s">
        <v>44</v>
      </c>
      <c r="G2" s="46" t="s">
        <v>45</v>
      </c>
      <c r="H2" s="46" t="s">
        <v>46</v>
      </c>
      <c r="I2" s="46" t="s">
        <v>47</v>
      </c>
      <c r="J2" s="46" t="s">
        <v>48</v>
      </c>
      <c r="K2" s="46" t="s">
        <v>49</v>
      </c>
      <c r="L2" s="46" t="s">
        <v>50</v>
      </c>
      <c r="M2" s="46" t="s">
        <v>51</v>
      </c>
      <c r="N2" s="46" t="s">
        <v>52</v>
      </c>
      <c r="O2" s="46" t="s">
        <v>53</v>
      </c>
      <c r="P2" s="46" t="s">
        <v>198</v>
      </c>
      <c r="Q2" s="45" t="s">
        <v>199</v>
      </c>
      <c r="R2" s="45" t="s">
        <v>200</v>
      </c>
      <c r="S2" s="47"/>
    </row>
    <row r="3" spans="2:19" s="48" customFormat="1" ht="15.75">
      <c r="B3" s="49" t="s">
        <v>57</v>
      </c>
      <c r="C3" s="50"/>
      <c r="D3" s="51"/>
      <c r="E3" s="51"/>
      <c r="F3" s="51"/>
      <c r="G3" s="51"/>
      <c r="H3" s="51"/>
      <c r="I3" s="51"/>
      <c r="J3" s="52"/>
      <c r="K3" s="52"/>
      <c r="L3" s="52"/>
      <c r="M3" s="52"/>
      <c r="N3" s="52"/>
      <c r="O3" s="52"/>
      <c r="P3" s="52"/>
      <c r="Q3" s="53"/>
      <c r="S3" s="54"/>
    </row>
    <row r="4" spans="2:19" s="55" customFormat="1" ht="15.75">
      <c r="B4" s="56" t="s">
        <v>108</v>
      </c>
      <c r="C4" s="57"/>
      <c r="D4" s="57"/>
      <c r="E4" s="57"/>
      <c r="F4" s="57"/>
      <c r="G4" s="57"/>
      <c r="H4" s="57">
        <v>43949.73</v>
      </c>
      <c r="I4" s="57">
        <v>50507.61</v>
      </c>
      <c r="J4" s="57">
        <f>53079.67-6557.88</f>
        <v>46521.79</v>
      </c>
      <c r="K4" s="57">
        <v>36889.42</v>
      </c>
      <c r="L4" s="57">
        <v>36909.61</v>
      </c>
      <c r="M4" s="57">
        <v>15875.53</v>
      </c>
      <c r="N4" s="57">
        <v>36909.61</v>
      </c>
      <c r="O4" s="57">
        <v>36909.61</v>
      </c>
      <c r="P4" s="58">
        <f aca="true" t="shared" si="0" ref="P4:P33">SUM(D4:O4)</f>
        <v>304472.91</v>
      </c>
      <c r="Q4" s="58">
        <v>227961.47</v>
      </c>
      <c r="R4" s="57">
        <f aca="true" t="shared" si="1" ref="R4:R31">C4+P4-Q4</f>
        <v>76511.43999999997</v>
      </c>
      <c r="S4" s="59"/>
    </row>
    <row r="5" spans="2:19" s="55" customFormat="1" ht="15.75">
      <c r="B5" s="56" t="s">
        <v>148</v>
      </c>
      <c r="C5" s="57"/>
      <c r="D5" s="57"/>
      <c r="E5" s="57"/>
      <c r="F5" s="57"/>
      <c r="G5" s="57"/>
      <c r="H5" s="57">
        <v>202.84</v>
      </c>
      <c r="I5" s="57">
        <f>240.69-32.08</f>
        <v>208.61</v>
      </c>
      <c r="J5" s="57">
        <v>212.94</v>
      </c>
      <c r="K5" s="57">
        <v>169.12</v>
      </c>
      <c r="L5" s="57">
        <v>169.13</v>
      </c>
      <c r="M5" s="58">
        <v>139.22</v>
      </c>
      <c r="N5" s="58">
        <v>169.13</v>
      </c>
      <c r="O5" s="58">
        <v>169.13</v>
      </c>
      <c r="P5" s="58">
        <f t="shared" si="0"/>
        <v>1440.1200000000003</v>
      </c>
      <c r="Q5" s="58">
        <v>1072.51</v>
      </c>
      <c r="R5" s="57">
        <f t="shared" si="1"/>
        <v>367.61000000000035</v>
      </c>
      <c r="S5" s="59"/>
    </row>
    <row r="6" spans="2:19" s="55" customFormat="1" ht="15.75">
      <c r="B6" s="56" t="s">
        <v>149</v>
      </c>
      <c r="C6" s="57"/>
      <c r="D6" s="57"/>
      <c r="E6" s="57"/>
      <c r="F6" s="57"/>
      <c r="G6" s="57"/>
      <c r="H6" s="57"/>
      <c r="I6" s="57">
        <v>321.97</v>
      </c>
      <c r="J6" s="57">
        <v>274.19</v>
      </c>
      <c r="K6" s="57">
        <v>272.34</v>
      </c>
      <c r="L6" s="57">
        <v>236.64</v>
      </c>
      <c r="M6" s="58">
        <v>184.48</v>
      </c>
      <c r="N6" s="57">
        <v>236.64</v>
      </c>
      <c r="O6" s="57">
        <v>236.64</v>
      </c>
      <c r="P6" s="58">
        <f t="shared" si="0"/>
        <v>1762.8999999999996</v>
      </c>
      <c r="Q6" s="58">
        <v>1315.99</v>
      </c>
      <c r="R6" s="57">
        <f t="shared" si="1"/>
        <v>446.9099999999996</v>
      </c>
      <c r="S6" s="59"/>
    </row>
    <row r="7" spans="2:19" s="55" customFormat="1" ht="15.75">
      <c r="B7" s="56" t="s">
        <v>150</v>
      </c>
      <c r="C7" s="57"/>
      <c r="D7" s="57"/>
      <c r="E7" s="57"/>
      <c r="F7" s="57"/>
      <c r="G7" s="57"/>
      <c r="H7" s="57">
        <v>574.64</v>
      </c>
      <c r="I7" s="57">
        <v>681.86</v>
      </c>
      <c r="J7" s="57">
        <f>657.74-125.64</f>
        <v>532.1</v>
      </c>
      <c r="K7" s="57">
        <v>507.13</v>
      </c>
      <c r="L7" s="57">
        <v>507.13</v>
      </c>
      <c r="M7" s="58">
        <v>393.79</v>
      </c>
      <c r="N7" s="58">
        <v>507.13</v>
      </c>
      <c r="O7" s="58">
        <v>507.13</v>
      </c>
      <c r="P7" s="58">
        <f t="shared" si="0"/>
        <v>4210.91</v>
      </c>
      <c r="Q7" s="58">
        <v>3119.09</v>
      </c>
      <c r="R7" s="57">
        <f t="shared" si="1"/>
        <v>1091.8199999999997</v>
      </c>
      <c r="S7" s="59"/>
    </row>
    <row r="8" spans="2:19" s="55" customFormat="1" ht="15.75">
      <c r="B8" s="56" t="s">
        <v>151</v>
      </c>
      <c r="C8" s="57"/>
      <c r="D8" s="57"/>
      <c r="E8" s="57"/>
      <c r="F8" s="57"/>
      <c r="G8" s="57"/>
      <c r="H8" s="57">
        <v>2704</v>
      </c>
      <c r="I8" s="57">
        <v>11397.29</v>
      </c>
      <c r="J8" s="57">
        <v>3480.06</v>
      </c>
      <c r="K8" s="57">
        <v>6541.13</v>
      </c>
      <c r="L8" s="57">
        <v>6591.13</v>
      </c>
      <c r="M8" s="58">
        <v>-8271.3</v>
      </c>
      <c r="N8" s="58">
        <v>2873.13</v>
      </c>
      <c r="O8" s="58">
        <v>-2078.28</v>
      </c>
      <c r="P8" s="58">
        <f t="shared" si="0"/>
        <v>23237.160000000007</v>
      </c>
      <c r="Q8" s="58">
        <v>25528.94</v>
      </c>
      <c r="R8" s="57">
        <f t="shared" si="1"/>
        <v>-2291.7799999999916</v>
      </c>
      <c r="S8" s="59"/>
    </row>
    <row r="9" spans="2:19" s="55" customFormat="1" ht="15.75">
      <c r="B9" s="56" t="s">
        <v>130</v>
      </c>
      <c r="C9" s="57"/>
      <c r="D9" s="57"/>
      <c r="E9" s="57"/>
      <c r="F9" s="57"/>
      <c r="G9" s="57"/>
      <c r="H9" s="57">
        <v>10061.75</v>
      </c>
      <c r="I9" s="57">
        <v>10061.75</v>
      </c>
      <c r="J9" s="57">
        <v>7106.57</v>
      </c>
      <c r="K9" s="57">
        <v>8450</v>
      </c>
      <c r="L9" s="57">
        <v>8450</v>
      </c>
      <c r="M9" s="58">
        <v>7453.15</v>
      </c>
      <c r="N9" s="58">
        <v>8450</v>
      </c>
      <c r="O9" s="58">
        <v>8450</v>
      </c>
      <c r="P9" s="58">
        <f t="shared" si="0"/>
        <v>68483.22</v>
      </c>
      <c r="Q9" s="58">
        <v>51071.32</v>
      </c>
      <c r="R9" s="57">
        <f t="shared" si="1"/>
        <v>17411.9</v>
      </c>
      <c r="S9" s="59"/>
    </row>
    <row r="10" spans="2:19" s="55" customFormat="1" ht="15.75">
      <c r="B10" s="56" t="s">
        <v>162</v>
      </c>
      <c r="C10" s="57"/>
      <c r="D10" s="57"/>
      <c r="E10" s="57"/>
      <c r="F10" s="57"/>
      <c r="G10" s="57"/>
      <c r="H10" s="57">
        <v>3219.76</v>
      </c>
      <c r="I10" s="57">
        <v>3066</v>
      </c>
      <c r="J10" s="57">
        <v>2197.22</v>
      </c>
      <c r="K10" s="57">
        <v>2704</v>
      </c>
      <c r="L10" s="57">
        <v>2704</v>
      </c>
      <c r="M10" s="57">
        <v>2615.65</v>
      </c>
      <c r="N10" s="57">
        <v>2704</v>
      </c>
      <c r="O10" s="57">
        <v>-5344.16</v>
      </c>
      <c r="P10" s="58">
        <f t="shared" si="0"/>
        <v>13866.470000000001</v>
      </c>
      <c r="Q10" s="58">
        <v>15999.03</v>
      </c>
      <c r="R10" s="57">
        <f t="shared" si="1"/>
        <v>-2132.5599999999995</v>
      </c>
      <c r="S10" s="59"/>
    </row>
    <row r="11" spans="2:19" s="55" customFormat="1" ht="15.75">
      <c r="B11" s="56" t="s">
        <v>107</v>
      </c>
      <c r="C11" s="57"/>
      <c r="D11" s="57"/>
      <c r="E11" s="57"/>
      <c r="F11" s="57"/>
      <c r="G11" s="57"/>
      <c r="H11" s="57">
        <v>7436</v>
      </c>
      <c r="I11" s="57">
        <v>7436</v>
      </c>
      <c r="J11" s="57">
        <v>7435.9</v>
      </c>
      <c r="K11" s="57">
        <v>7436</v>
      </c>
      <c r="L11" s="57">
        <v>7436</v>
      </c>
      <c r="M11" s="57">
        <v>7436</v>
      </c>
      <c r="N11" s="57">
        <v>7436</v>
      </c>
      <c r="O11" s="57">
        <v>7436</v>
      </c>
      <c r="P11" s="58">
        <f t="shared" si="0"/>
        <v>59487.9</v>
      </c>
      <c r="Q11" s="58">
        <v>44329.48</v>
      </c>
      <c r="R11" s="57">
        <f t="shared" si="1"/>
        <v>15158.419999999998</v>
      </c>
      <c r="S11" s="59"/>
    </row>
    <row r="12" spans="2:19" s="55" customFormat="1" ht="15.75">
      <c r="B12" s="56" t="s">
        <v>59</v>
      </c>
      <c r="C12" s="57"/>
      <c r="D12" s="57"/>
      <c r="E12" s="57"/>
      <c r="F12" s="57"/>
      <c r="G12" s="57"/>
      <c r="H12" s="57">
        <v>2322</v>
      </c>
      <c r="I12" s="57">
        <v>2322</v>
      </c>
      <c r="J12" s="57">
        <v>2321.96</v>
      </c>
      <c r="K12" s="57">
        <v>2322</v>
      </c>
      <c r="L12" s="57">
        <v>2322</v>
      </c>
      <c r="M12" s="57">
        <v>2322</v>
      </c>
      <c r="N12" s="57">
        <v>2322</v>
      </c>
      <c r="O12" s="57">
        <v>2322</v>
      </c>
      <c r="P12" s="58">
        <f t="shared" si="0"/>
        <v>18575.96</v>
      </c>
      <c r="Q12" s="58">
        <v>13984.53</v>
      </c>
      <c r="R12" s="57">
        <f t="shared" si="1"/>
        <v>4591.4299999999985</v>
      </c>
      <c r="S12" s="59"/>
    </row>
    <row r="13" spans="2:21" s="55" customFormat="1" ht="15.75">
      <c r="B13" s="141" t="s">
        <v>189</v>
      </c>
      <c r="C13" s="57"/>
      <c r="D13" s="57"/>
      <c r="E13" s="57"/>
      <c r="F13" s="57"/>
      <c r="G13" s="57"/>
      <c r="H13" s="57">
        <v>1520</v>
      </c>
      <c r="I13" s="57">
        <v>1520</v>
      </c>
      <c r="J13" s="57">
        <v>1520</v>
      </c>
      <c r="K13" s="57">
        <v>1520</v>
      </c>
      <c r="L13" s="57">
        <v>1520</v>
      </c>
      <c r="M13" s="57">
        <v>1520</v>
      </c>
      <c r="N13" s="57">
        <v>1520</v>
      </c>
      <c r="O13" s="57">
        <v>1520</v>
      </c>
      <c r="P13" s="58">
        <f t="shared" si="0"/>
        <v>12160</v>
      </c>
      <c r="Q13" s="57">
        <v>7600</v>
      </c>
      <c r="R13" s="57">
        <f t="shared" si="1"/>
        <v>4560</v>
      </c>
      <c r="S13" s="59"/>
      <c r="U13" s="59"/>
    </row>
    <row r="14" spans="2:21" s="55" customFormat="1" ht="15.75">
      <c r="B14" s="141" t="s">
        <v>60</v>
      </c>
      <c r="C14" s="57"/>
      <c r="D14" s="57"/>
      <c r="E14" s="57"/>
      <c r="F14" s="57"/>
      <c r="G14" s="57"/>
      <c r="H14" s="57">
        <v>572</v>
      </c>
      <c r="I14" s="57">
        <v>572</v>
      </c>
      <c r="J14" s="57">
        <v>572</v>
      </c>
      <c r="K14" s="57">
        <v>572</v>
      </c>
      <c r="L14" s="57">
        <v>572</v>
      </c>
      <c r="M14" s="57">
        <v>2087</v>
      </c>
      <c r="N14" s="57">
        <v>2087</v>
      </c>
      <c r="O14" s="57">
        <v>2088</v>
      </c>
      <c r="P14" s="58">
        <f t="shared" si="0"/>
        <v>9122</v>
      </c>
      <c r="Q14" s="57">
        <v>4481</v>
      </c>
      <c r="R14" s="57">
        <f t="shared" si="1"/>
        <v>4641</v>
      </c>
      <c r="S14" s="59"/>
      <c r="U14" s="59"/>
    </row>
    <row r="15" spans="2:21" s="55" customFormat="1" ht="15.75">
      <c r="B15" s="141">
        <v>0.15</v>
      </c>
      <c r="C15" s="57"/>
      <c r="D15" s="57">
        <f>-D13*15%</f>
        <v>0</v>
      </c>
      <c r="E15" s="57">
        <f aca="true" t="shared" si="2" ref="E15:N15">-E13*15%</f>
        <v>0</v>
      </c>
      <c r="F15" s="57">
        <f t="shared" si="2"/>
        <v>0</v>
      </c>
      <c r="G15" s="57">
        <f t="shared" si="2"/>
        <v>0</v>
      </c>
      <c r="H15" s="57">
        <f>-(H13+H14)*15%</f>
        <v>-313.8</v>
      </c>
      <c r="I15" s="57">
        <f t="shared" si="2"/>
        <v>-228</v>
      </c>
      <c r="J15" s="57">
        <f t="shared" si="2"/>
        <v>-228</v>
      </c>
      <c r="K15" s="57">
        <f t="shared" si="2"/>
        <v>-228</v>
      </c>
      <c r="L15" s="57">
        <f t="shared" si="2"/>
        <v>-228</v>
      </c>
      <c r="M15" s="57">
        <f t="shared" si="2"/>
        <v>-228</v>
      </c>
      <c r="N15" s="57">
        <f t="shared" si="2"/>
        <v>-228</v>
      </c>
      <c r="O15" s="57">
        <f>-O13*15%</f>
        <v>-228</v>
      </c>
      <c r="P15" s="57">
        <f>-P13*15%</f>
        <v>-1824</v>
      </c>
      <c r="Q15" s="57">
        <f>-Q13*15%</f>
        <v>-1140</v>
      </c>
      <c r="R15" s="57">
        <f t="shared" si="1"/>
        <v>-684</v>
      </c>
      <c r="S15" s="59"/>
      <c r="U15" s="59"/>
    </row>
    <row r="16" spans="2:21" s="55" customFormat="1" ht="15.75">
      <c r="B16" s="141" t="s">
        <v>156</v>
      </c>
      <c r="C16" s="57"/>
      <c r="D16" s="57"/>
      <c r="E16" s="57"/>
      <c r="F16" s="57"/>
      <c r="G16" s="57"/>
      <c r="H16" s="57">
        <v>694.24</v>
      </c>
      <c r="I16" s="57">
        <v>870.81</v>
      </c>
      <c r="J16" s="57">
        <v>814.11</v>
      </c>
      <c r="K16" s="57">
        <v>766.59</v>
      </c>
      <c r="L16" s="57">
        <v>766.59</v>
      </c>
      <c r="M16" s="57">
        <v>640.42</v>
      </c>
      <c r="N16" s="57">
        <v>640.42</v>
      </c>
      <c r="O16" s="57">
        <v>633.26</v>
      </c>
      <c r="P16" s="58">
        <f t="shared" si="0"/>
        <v>5826.4400000000005</v>
      </c>
      <c r="Q16" s="57">
        <v>3771.52</v>
      </c>
      <c r="R16" s="57">
        <f t="shared" si="1"/>
        <v>2054.9200000000005</v>
      </c>
      <c r="S16" s="59"/>
      <c r="U16" s="59"/>
    </row>
    <row r="17" spans="2:21" s="55" customFormat="1" ht="15.75">
      <c r="B17" s="141" t="s">
        <v>147</v>
      </c>
      <c r="C17" s="57"/>
      <c r="D17" s="57"/>
      <c r="E17" s="57"/>
      <c r="F17" s="57"/>
      <c r="G17" s="57"/>
      <c r="H17" s="57">
        <v>10998.59</v>
      </c>
      <c r="I17" s="57">
        <v>10998</v>
      </c>
      <c r="J17" s="57">
        <v>10998</v>
      </c>
      <c r="K17" s="57">
        <v>10998</v>
      </c>
      <c r="L17" s="57">
        <v>10998</v>
      </c>
      <c r="M17" s="57">
        <v>10998</v>
      </c>
      <c r="N17" s="57">
        <v>10998</v>
      </c>
      <c r="O17" s="57">
        <v>10998</v>
      </c>
      <c r="P17" s="58">
        <f t="shared" si="0"/>
        <v>87984.59</v>
      </c>
      <c r="Q17" s="57">
        <v>68053.55</v>
      </c>
      <c r="R17" s="57">
        <f t="shared" si="1"/>
        <v>19931.039999999994</v>
      </c>
      <c r="S17" s="59"/>
      <c r="U17" s="59"/>
    </row>
    <row r="18" spans="2:19" s="60" customFormat="1" ht="15.75">
      <c r="B18" s="61" t="s">
        <v>105</v>
      </c>
      <c r="C18" s="62">
        <f>SUM(C4:C17)</f>
        <v>0</v>
      </c>
      <c r="D18" s="62">
        <f aca="true" t="shared" si="3" ref="D18:N18">SUM(D4:D17)</f>
        <v>0</v>
      </c>
      <c r="E18" s="62">
        <f t="shared" si="3"/>
        <v>0</v>
      </c>
      <c r="F18" s="62">
        <f t="shared" si="3"/>
        <v>0</v>
      </c>
      <c r="G18" s="62">
        <f t="shared" si="3"/>
        <v>0</v>
      </c>
      <c r="H18" s="62">
        <f t="shared" si="3"/>
        <v>83941.75</v>
      </c>
      <c r="I18" s="62">
        <f t="shared" si="3"/>
        <v>99735.9</v>
      </c>
      <c r="J18" s="62">
        <f t="shared" si="3"/>
        <v>83758.84000000001</v>
      </c>
      <c r="K18" s="62">
        <f t="shared" si="3"/>
        <v>78919.72999999998</v>
      </c>
      <c r="L18" s="62">
        <f t="shared" si="3"/>
        <v>78954.22999999998</v>
      </c>
      <c r="M18" s="62">
        <f t="shared" si="3"/>
        <v>43165.94</v>
      </c>
      <c r="N18" s="62">
        <f t="shared" si="3"/>
        <v>76625.06</v>
      </c>
      <c r="O18" s="62">
        <f>SUM(O4:O17)</f>
        <v>63619.329999999994</v>
      </c>
      <c r="P18" s="65">
        <f t="shared" si="0"/>
        <v>608720.7799999999</v>
      </c>
      <c r="Q18" s="62">
        <f>SUM(Q4:Q17)</f>
        <v>467148.43000000005</v>
      </c>
      <c r="R18" s="62">
        <f>SUM(R4:R17)</f>
        <v>141658.14999999997</v>
      </c>
      <c r="S18" s="63"/>
    </row>
    <row r="19" spans="2:19" s="55" customFormat="1" ht="15.75">
      <c r="B19" s="61"/>
      <c r="C19" s="57"/>
      <c r="D19" s="57"/>
      <c r="E19" s="57"/>
      <c r="F19" s="57"/>
      <c r="G19" s="57"/>
      <c r="H19" s="57"/>
      <c r="I19" s="57"/>
      <c r="J19" s="58"/>
      <c r="K19" s="58"/>
      <c r="L19" s="58"/>
      <c r="M19" s="58"/>
      <c r="N19" s="58"/>
      <c r="O19" s="58"/>
      <c r="P19" s="58"/>
      <c r="Q19" s="58"/>
      <c r="R19" s="57"/>
      <c r="S19" s="59"/>
    </row>
    <row r="20" spans="2:21" s="55" customFormat="1" ht="15.75">
      <c r="B20" s="183" t="s">
        <v>170</v>
      </c>
      <c r="C20" s="184"/>
      <c r="D20" s="67"/>
      <c r="E20" s="67"/>
      <c r="F20" s="67"/>
      <c r="G20" s="67"/>
      <c r="H20" s="67"/>
      <c r="I20" s="67"/>
      <c r="J20" s="68"/>
      <c r="K20" s="68"/>
      <c r="L20" s="68"/>
      <c r="M20" s="68"/>
      <c r="N20" s="68"/>
      <c r="O20" s="68"/>
      <c r="P20" s="58"/>
      <c r="Q20" s="68"/>
      <c r="R20" s="57"/>
      <c r="S20" s="69"/>
      <c r="T20" s="70"/>
      <c r="U20" s="70"/>
    </row>
    <row r="21" spans="2:19" s="55" customFormat="1" ht="15.75">
      <c r="B21" s="56" t="s">
        <v>38</v>
      </c>
      <c r="C21" s="57"/>
      <c r="D21" s="57"/>
      <c r="E21" s="57"/>
      <c r="F21" s="57"/>
      <c r="G21" s="57"/>
      <c r="H21" s="57">
        <v>8626.34</v>
      </c>
      <c r="I21" s="57">
        <v>9568.81</v>
      </c>
      <c r="J21" s="58">
        <v>9541.74</v>
      </c>
      <c r="K21" s="58">
        <f>6288.95+50</f>
        <v>6338.95</v>
      </c>
      <c r="L21" s="58">
        <v>8328.34</v>
      </c>
      <c r="M21" s="58">
        <v>7835.17</v>
      </c>
      <c r="N21" s="58">
        <v>10104.85</v>
      </c>
      <c r="O21" s="58">
        <v>10504.64</v>
      </c>
      <c r="P21" s="58">
        <f t="shared" si="0"/>
        <v>70848.84</v>
      </c>
      <c r="Q21" s="58">
        <v>49585.87</v>
      </c>
      <c r="R21" s="57">
        <f t="shared" si="1"/>
        <v>21262.969999999994</v>
      </c>
      <c r="S21" s="59"/>
    </row>
    <row r="22" spans="2:19" s="55" customFormat="1" ht="15.75">
      <c r="B22" s="56" t="s">
        <v>39</v>
      </c>
      <c r="C22" s="57"/>
      <c r="D22" s="57"/>
      <c r="E22" s="57"/>
      <c r="F22" s="57"/>
      <c r="G22" s="57"/>
      <c r="H22" s="57">
        <v>9050.72</v>
      </c>
      <c r="I22" s="57">
        <v>10315.15</v>
      </c>
      <c r="J22" s="58">
        <v>9917.85</v>
      </c>
      <c r="K22" s="58">
        <v>6581.64</v>
      </c>
      <c r="L22" s="58">
        <v>9352.57</v>
      </c>
      <c r="M22" s="58">
        <v>8241.34</v>
      </c>
      <c r="N22" s="58">
        <v>10337.92</v>
      </c>
      <c r="O22" s="58">
        <v>10398.74</v>
      </c>
      <c r="P22" s="58">
        <f t="shared" si="0"/>
        <v>74195.93000000001</v>
      </c>
      <c r="Q22" s="58">
        <v>51418.75</v>
      </c>
      <c r="R22" s="57">
        <f t="shared" si="1"/>
        <v>22777.180000000008</v>
      </c>
      <c r="S22" s="59"/>
    </row>
    <row r="23" spans="2:19" s="55" customFormat="1" ht="15.75">
      <c r="B23" s="56" t="s">
        <v>35</v>
      </c>
      <c r="C23" s="57"/>
      <c r="D23" s="57"/>
      <c r="E23" s="57"/>
      <c r="F23" s="57"/>
      <c r="G23" s="57"/>
      <c r="H23" s="57">
        <v>16262.56</v>
      </c>
      <c r="I23" s="57">
        <v>22661.5</v>
      </c>
      <c r="J23" s="58">
        <v>50854.5</v>
      </c>
      <c r="K23" s="58">
        <f>50+16949.25</f>
        <v>16999.25</v>
      </c>
      <c r="L23" s="58">
        <v>16540</v>
      </c>
      <c r="M23" s="58">
        <v>-7986.45</v>
      </c>
      <c r="N23" s="58">
        <v>22355.32</v>
      </c>
      <c r="O23" s="58">
        <v>22779.61</v>
      </c>
      <c r="P23" s="58">
        <f t="shared" si="0"/>
        <v>160466.28999999998</v>
      </c>
      <c r="Q23" s="58">
        <v>120087.11</v>
      </c>
      <c r="R23" s="57">
        <f t="shared" si="1"/>
        <v>40379.17999999998</v>
      </c>
      <c r="S23" s="59"/>
    </row>
    <row r="24" spans="2:19" s="55" customFormat="1" ht="15.75">
      <c r="B24" s="56" t="s">
        <v>68</v>
      </c>
      <c r="C24" s="57"/>
      <c r="D24" s="57"/>
      <c r="E24" s="57"/>
      <c r="F24" s="57"/>
      <c r="G24" s="57"/>
      <c r="H24" s="57">
        <v>39599.93</v>
      </c>
      <c r="I24" s="57"/>
      <c r="J24" s="57">
        <v>7613.35</v>
      </c>
      <c r="K24" s="57"/>
      <c r="L24" s="57">
        <v>6067.15</v>
      </c>
      <c r="M24" s="57">
        <v>49138.19</v>
      </c>
      <c r="N24" s="58">
        <v>57407.12</v>
      </c>
      <c r="O24" s="58">
        <v>107656.48</v>
      </c>
      <c r="P24" s="58">
        <f t="shared" si="0"/>
        <v>267482.22</v>
      </c>
      <c r="Q24" s="58">
        <v>127721.93</v>
      </c>
      <c r="R24" s="57">
        <f t="shared" si="1"/>
        <v>139760.28999999998</v>
      </c>
      <c r="S24" s="59"/>
    </row>
    <row r="25" spans="2:19" s="55" customFormat="1" ht="15.75">
      <c r="B25" s="56" t="s">
        <v>37</v>
      </c>
      <c r="C25" s="57"/>
      <c r="D25" s="57"/>
      <c r="E25" s="57"/>
      <c r="F25" s="57"/>
      <c r="G25" s="57"/>
      <c r="H25" s="57">
        <v>14892.92</v>
      </c>
      <c r="I25" s="57">
        <v>17054.72</v>
      </c>
      <c r="J25" s="58">
        <v>16217.43</v>
      </c>
      <c r="K25" s="58">
        <v>11155.62</v>
      </c>
      <c r="L25" s="58">
        <v>16757.41</v>
      </c>
      <c r="M25" s="58">
        <v>12507.01</v>
      </c>
      <c r="N25" s="58">
        <v>15829.6</v>
      </c>
      <c r="O25" s="58">
        <v>14936.94</v>
      </c>
      <c r="P25" s="58">
        <f t="shared" si="0"/>
        <v>119351.65000000001</v>
      </c>
      <c r="Q25" s="58">
        <v>87351.23</v>
      </c>
      <c r="R25" s="57">
        <f t="shared" si="1"/>
        <v>32000.420000000013</v>
      </c>
      <c r="S25" s="59"/>
    </row>
    <row r="26" spans="2:19" s="60" customFormat="1" ht="16.5" customHeight="1">
      <c r="B26" s="61" t="s">
        <v>188</v>
      </c>
      <c r="C26" s="62">
        <f aca="true" t="shared" si="4" ref="C26:O26">C27+C28+C29+C30+C31</f>
        <v>0</v>
      </c>
      <c r="D26" s="62">
        <f t="shared" si="4"/>
        <v>0</v>
      </c>
      <c r="E26" s="62">
        <f t="shared" si="4"/>
        <v>0</v>
      </c>
      <c r="F26" s="62">
        <f t="shared" si="4"/>
        <v>0</v>
      </c>
      <c r="G26" s="62">
        <f t="shared" si="4"/>
        <v>0</v>
      </c>
      <c r="H26" s="62">
        <f t="shared" si="4"/>
        <v>20867.44</v>
      </c>
      <c r="I26" s="62">
        <f t="shared" si="4"/>
        <v>10012.21</v>
      </c>
      <c r="J26" s="62">
        <f t="shared" si="4"/>
        <v>14366.37</v>
      </c>
      <c r="K26" s="62">
        <f t="shared" si="4"/>
        <v>16234.59</v>
      </c>
      <c r="L26" s="62">
        <f t="shared" si="4"/>
        <v>13101.260000000002</v>
      </c>
      <c r="M26" s="62">
        <f t="shared" si="4"/>
        <v>29690.93</v>
      </c>
      <c r="N26" s="62">
        <f t="shared" si="4"/>
        <v>34872.15</v>
      </c>
      <c r="O26" s="62">
        <f t="shared" si="4"/>
        <v>46605.490000000005</v>
      </c>
      <c r="P26" s="65">
        <f t="shared" si="0"/>
        <v>185750.44</v>
      </c>
      <c r="Q26" s="62">
        <f>Q27+Q28+Q29+Q30+Q31</f>
        <v>98267.65</v>
      </c>
      <c r="R26" s="62">
        <f t="shared" si="1"/>
        <v>87482.79000000001</v>
      </c>
      <c r="S26" s="63"/>
    </row>
    <row r="27" spans="2:19" s="55" customFormat="1" ht="16.5" customHeight="1">
      <c r="B27" s="56" t="s">
        <v>38</v>
      </c>
      <c r="C27" s="57"/>
      <c r="D27" s="57"/>
      <c r="E27" s="57"/>
      <c r="F27" s="57"/>
      <c r="G27" s="57"/>
      <c r="H27" s="57">
        <v>469.62</v>
      </c>
      <c r="I27" s="57">
        <v>495.71</v>
      </c>
      <c r="J27" s="58">
        <v>619.96</v>
      </c>
      <c r="K27" s="58">
        <v>648.14</v>
      </c>
      <c r="L27" s="58">
        <v>507.24</v>
      </c>
      <c r="M27" s="58">
        <v>591.78</v>
      </c>
      <c r="N27" s="58">
        <v>817.22</v>
      </c>
      <c r="O27" s="58">
        <v>479.06</v>
      </c>
      <c r="P27" s="58">
        <f t="shared" si="0"/>
        <v>4628.7300000000005</v>
      </c>
      <c r="Q27" s="58">
        <v>1573.9</v>
      </c>
      <c r="R27" s="57">
        <f t="shared" si="1"/>
        <v>3054.8300000000004</v>
      </c>
      <c r="S27" s="59"/>
    </row>
    <row r="28" spans="2:19" s="55" customFormat="1" ht="16.5" customHeight="1">
      <c r="B28" s="56" t="s">
        <v>39</v>
      </c>
      <c r="C28" s="57"/>
      <c r="D28" s="57"/>
      <c r="E28" s="57"/>
      <c r="F28" s="57"/>
      <c r="G28" s="57"/>
      <c r="H28" s="57">
        <v>448.47</v>
      </c>
      <c r="I28" s="57">
        <v>415.25</v>
      </c>
      <c r="J28" s="58">
        <v>556.45</v>
      </c>
      <c r="K28" s="58">
        <v>574.4</v>
      </c>
      <c r="L28" s="58">
        <v>502.6</v>
      </c>
      <c r="M28" s="58">
        <v>538.5</v>
      </c>
      <c r="N28" s="58">
        <v>753.9</v>
      </c>
      <c r="O28" s="58">
        <v>412.85</v>
      </c>
      <c r="P28" s="58">
        <f t="shared" si="0"/>
        <v>4202.42</v>
      </c>
      <c r="Q28" s="58">
        <v>1342.23</v>
      </c>
      <c r="R28" s="57">
        <f t="shared" si="1"/>
        <v>2860.19</v>
      </c>
      <c r="S28" s="59"/>
    </row>
    <row r="29" spans="2:19" s="55" customFormat="1" ht="16.5" customHeight="1">
      <c r="B29" s="56" t="s">
        <v>37</v>
      </c>
      <c r="C29" s="57"/>
      <c r="D29" s="57"/>
      <c r="E29" s="57"/>
      <c r="F29" s="57"/>
      <c r="G29" s="57"/>
      <c r="H29" s="57">
        <v>919.26</v>
      </c>
      <c r="I29" s="57">
        <v>612.84</v>
      </c>
      <c r="J29" s="58">
        <v>952.2</v>
      </c>
      <c r="K29" s="58">
        <v>952.2</v>
      </c>
      <c r="L29" s="58">
        <v>1058</v>
      </c>
      <c r="M29" s="58">
        <v>952.2</v>
      </c>
      <c r="N29" s="58">
        <v>1375.4</v>
      </c>
      <c r="O29" s="58">
        <v>1058</v>
      </c>
      <c r="P29" s="58">
        <f t="shared" si="0"/>
        <v>7880.1</v>
      </c>
      <c r="Q29" s="58">
        <v>4735.38</v>
      </c>
      <c r="R29" s="57">
        <f t="shared" si="1"/>
        <v>3144.7200000000003</v>
      </c>
      <c r="S29" s="59"/>
    </row>
    <row r="30" spans="2:19" s="55" customFormat="1" ht="16.5" customHeight="1">
      <c r="B30" s="56" t="s">
        <v>68</v>
      </c>
      <c r="C30" s="57"/>
      <c r="D30" s="57"/>
      <c r="E30" s="57"/>
      <c r="F30" s="57"/>
      <c r="G30" s="57"/>
      <c r="H30" s="57">
        <v>9591.46</v>
      </c>
      <c r="I30" s="57"/>
      <c r="J30" s="58"/>
      <c r="K30" s="58"/>
      <c r="L30" s="58">
        <v>1245.13</v>
      </c>
      <c r="M30" s="58">
        <v>15240.25</v>
      </c>
      <c r="N30" s="58">
        <v>20954.18</v>
      </c>
      <c r="O30" s="58">
        <v>30904.9</v>
      </c>
      <c r="P30" s="58">
        <f t="shared" si="0"/>
        <v>77935.92000000001</v>
      </c>
      <c r="Q30" s="58">
        <v>28549.66</v>
      </c>
      <c r="R30" s="57">
        <f t="shared" si="1"/>
        <v>49386.26000000001</v>
      </c>
      <c r="S30" s="59"/>
    </row>
    <row r="31" spans="2:19" s="55" customFormat="1" ht="16.5" customHeight="1">
      <c r="B31" s="56" t="s">
        <v>35</v>
      </c>
      <c r="C31" s="57"/>
      <c r="D31" s="57"/>
      <c r="E31" s="57"/>
      <c r="F31" s="57"/>
      <c r="G31" s="57"/>
      <c r="H31" s="57">
        <v>9438.63</v>
      </c>
      <c r="I31" s="57">
        <v>8488.41</v>
      </c>
      <c r="J31" s="58">
        <v>12237.76</v>
      </c>
      <c r="K31" s="58">
        <v>14059.85</v>
      </c>
      <c r="L31" s="58">
        <v>9788.29</v>
      </c>
      <c r="M31" s="58">
        <v>12368.2</v>
      </c>
      <c r="N31" s="58">
        <v>10971.45</v>
      </c>
      <c r="O31" s="58">
        <v>13750.68</v>
      </c>
      <c r="P31" s="58">
        <f t="shared" si="0"/>
        <v>91103.26999999999</v>
      </c>
      <c r="Q31" s="58">
        <v>62066.48</v>
      </c>
      <c r="R31" s="57">
        <f t="shared" si="1"/>
        <v>29036.789999999986</v>
      </c>
      <c r="S31" s="59"/>
    </row>
    <row r="32" spans="2:19" s="60" customFormat="1" ht="15.75">
      <c r="B32" s="61" t="s">
        <v>72</v>
      </c>
      <c r="C32" s="62">
        <f>C21+C22+C23+C24+C25+C26</f>
        <v>0</v>
      </c>
      <c r="D32" s="62">
        <f aca="true" t="shared" si="5" ref="D32:I32">D21+D22+D23+D24+D25+D26</f>
        <v>0</v>
      </c>
      <c r="E32" s="62">
        <f t="shared" si="5"/>
        <v>0</v>
      </c>
      <c r="F32" s="62">
        <f t="shared" si="5"/>
        <v>0</v>
      </c>
      <c r="G32" s="62">
        <f t="shared" si="5"/>
        <v>0</v>
      </c>
      <c r="H32" s="62">
        <f t="shared" si="5"/>
        <v>109299.90999999999</v>
      </c>
      <c r="I32" s="62">
        <f t="shared" si="5"/>
        <v>69612.39</v>
      </c>
      <c r="J32" s="62">
        <f>J21+J22+J23+J24+J25+J26</f>
        <v>108511.23999999999</v>
      </c>
      <c r="K32" s="62">
        <f aca="true" t="shared" si="6" ref="K32:R32">K21+K22+K23+K24+K25+K26</f>
        <v>57310.05</v>
      </c>
      <c r="L32" s="62">
        <f t="shared" si="6"/>
        <v>70146.73000000001</v>
      </c>
      <c r="M32" s="62">
        <f t="shared" si="6"/>
        <v>99426.19</v>
      </c>
      <c r="N32" s="62">
        <f t="shared" si="6"/>
        <v>150906.96</v>
      </c>
      <c r="O32" s="62">
        <f t="shared" si="6"/>
        <v>212881.90000000002</v>
      </c>
      <c r="P32" s="65">
        <f t="shared" si="0"/>
        <v>878095.37</v>
      </c>
      <c r="Q32" s="62">
        <f t="shared" si="6"/>
        <v>534432.5399999999</v>
      </c>
      <c r="R32" s="62">
        <f t="shared" si="6"/>
        <v>343662.82999999996</v>
      </c>
      <c r="S32" s="63"/>
    </row>
    <row r="33" spans="2:19" s="60" customFormat="1" ht="15.75">
      <c r="B33" s="61" t="s">
        <v>73</v>
      </c>
      <c r="C33" s="62">
        <f aca="true" t="shared" si="7" ref="C33:O33">C32+C18</f>
        <v>0</v>
      </c>
      <c r="D33" s="62">
        <f t="shared" si="7"/>
        <v>0</v>
      </c>
      <c r="E33" s="62">
        <f t="shared" si="7"/>
        <v>0</v>
      </c>
      <c r="F33" s="62">
        <f t="shared" si="7"/>
        <v>0</v>
      </c>
      <c r="G33" s="62">
        <f t="shared" si="7"/>
        <v>0</v>
      </c>
      <c r="H33" s="62">
        <f t="shared" si="7"/>
        <v>193241.65999999997</v>
      </c>
      <c r="I33" s="62">
        <f t="shared" si="7"/>
        <v>169348.28999999998</v>
      </c>
      <c r="J33" s="62">
        <f t="shared" si="7"/>
        <v>192270.08000000002</v>
      </c>
      <c r="K33" s="62">
        <f t="shared" si="7"/>
        <v>136229.77999999997</v>
      </c>
      <c r="L33" s="62">
        <f t="shared" si="7"/>
        <v>149100.96</v>
      </c>
      <c r="M33" s="62">
        <f t="shared" si="7"/>
        <v>142592.13</v>
      </c>
      <c r="N33" s="62">
        <f t="shared" si="7"/>
        <v>227532.02</v>
      </c>
      <c r="O33" s="62">
        <f t="shared" si="7"/>
        <v>276501.23000000004</v>
      </c>
      <c r="P33" s="65">
        <f t="shared" si="0"/>
        <v>1486816.15</v>
      </c>
      <c r="Q33" s="62">
        <f>Q32+Q18</f>
        <v>1001580.97</v>
      </c>
      <c r="R33" s="62">
        <f>R32+R18</f>
        <v>485320.9799999999</v>
      </c>
      <c r="S33" s="63"/>
    </row>
    <row r="34" spans="2:19" s="60" customFormat="1" ht="1.5" customHeight="1">
      <c r="B34" s="64" t="s">
        <v>61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 t="e">
        <f>#REF!+#REF!</f>
        <v>#REF!</v>
      </c>
      <c r="R34" s="62"/>
      <c r="S34" s="63"/>
    </row>
    <row r="35" spans="2:19" s="60" customFormat="1" ht="15.75" hidden="1">
      <c r="B35" s="64" t="s">
        <v>62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 t="e">
        <f>#REF!</f>
        <v>#REF!</v>
      </c>
      <c r="R35" s="62"/>
      <c r="S35" s="63"/>
    </row>
    <row r="36" spans="2:19" s="60" customFormat="1" ht="15.75" hidden="1">
      <c r="B36" s="66" t="s">
        <v>63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 t="e">
        <f>#REF!+#REF!</f>
        <v>#REF!</v>
      </c>
      <c r="R36" s="71"/>
      <c r="S36" s="63"/>
    </row>
    <row r="37" spans="2:19" s="60" customFormat="1" ht="15.75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63"/>
    </row>
    <row r="38" spans="1:19" s="76" customFormat="1" ht="17.25" customHeight="1">
      <c r="A38" s="74"/>
      <c r="B38" s="186" t="s">
        <v>201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8"/>
      <c r="S38" s="75"/>
    </row>
    <row r="39" spans="1:19" s="76" customFormat="1" ht="17.25" customHeight="1">
      <c r="A39" s="77"/>
      <c r="B39" s="189" t="s">
        <v>57</v>
      </c>
      <c r="C39" s="189"/>
      <c r="D39" s="78"/>
      <c r="E39" s="78"/>
      <c r="F39" s="78"/>
      <c r="G39" s="78"/>
      <c r="H39" s="78"/>
      <c r="I39" s="166"/>
      <c r="J39" s="167"/>
      <c r="K39" s="167"/>
      <c r="L39" s="79"/>
      <c r="M39" s="79"/>
      <c r="N39" s="79"/>
      <c r="O39" s="79"/>
      <c r="P39" s="79"/>
      <c r="Q39" s="75"/>
      <c r="R39" s="80"/>
      <c r="S39" s="75"/>
    </row>
    <row r="40" spans="1:19" s="84" customFormat="1" ht="30">
      <c r="A40" s="81" t="s">
        <v>74</v>
      </c>
      <c r="B40" s="82" t="s">
        <v>75</v>
      </c>
      <c r="C40" s="45" t="s">
        <v>197</v>
      </c>
      <c r="D40" s="46" t="s">
        <v>42</v>
      </c>
      <c r="E40" s="46" t="s">
        <v>43</v>
      </c>
      <c r="F40" s="46" t="s">
        <v>44</v>
      </c>
      <c r="G40" s="46" t="s">
        <v>45</v>
      </c>
      <c r="H40" s="46" t="s">
        <v>46</v>
      </c>
      <c r="I40" s="46" t="s">
        <v>47</v>
      </c>
      <c r="J40" s="46" t="s">
        <v>48</v>
      </c>
      <c r="K40" s="46" t="s">
        <v>49</v>
      </c>
      <c r="L40" s="46" t="s">
        <v>50</v>
      </c>
      <c r="M40" s="46" t="s">
        <v>51</v>
      </c>
      <c r="N40" s="46" t="s">
        <v>52</v>
      </c>
      <c r="O40" s="46" t="s">
        <v>53</v>
      </c>
      <c r="P40" s="46" t="s">
        <v>198</v>
      </c>
      <c r="Q40" s="45" t="s">
        <v>199</v>
      </c>
      <c r="R40" s="45" t="s">
        <v>200</v>
      </c>
      <c r="S40" s="83"/>
    </row>
    <row r="41" spans="1:21" s="89" customFormat="1" ht="14.25">
      <c r="A41" s="85">
        <v>1</v>
      </c>
      <c r="B41" s="120" t="s">
        <v>96</v>
      </c>
      <c r="C41" s="87">
        <f>C42+C45+C46+C47+C48</f>
        <v>0</v>
      </c>
      <c r="D41" s="87">
        <f>D42+D45+D46+D47+D48+D49+D50+D51+D52</f>
        <v>0</v>
      </c>
      <c r="E41" s="87">
        <f>E42+E45+E46+E47+E48+E49+E50+E51+E52</f>
        <v>0</v>
      </c>
      <c r="F41" s="87">
        <f>F42+F45+F46+F47+F48+F49+F50+F51+F52</f>
        <v>0</v>
      </c>
      <c r="G41" s="87">
        <f>G42+G45+G46+G47+G48+G49+G50+G51+G52+G53</f>
        <v>0</v>
      </c>
      <c r="H41" s="87">
        <f>H42+H45+H46+H47+H48+H49+H50+H51+H52+H53</f>
        <v>26442.67</v>
      </c>
      <c r="I41" s="87">
        <f aca="true" t="shared" si="8" ref="I41:Q41">I42+I45+I46+I47+I48+I49+I50+I51+I52+I53+I54</f>
        <v>28588.28</v>
      </c>
      <c r="J41" s="87">
        <f t="shared" si="8"/>
        <v>35725.87</v>
      </c>
      <c r="K41" s="87">
        <f t="shared" si="8"/>
        <v>36057.719999999994</v>
      </c>
      <c r="L41" s="87">
        <f t="shared" si="8"/>
        <v>28479.690000000002</v>
      </c>
      <c r="M41" s="87">
        <f t="shared" si="8"/>
        <v>28624.1</v>
      </c>
      <c r="N41" s="87">
        <f t="shared" si="8"/>
        <v>28696.319999999996</v>
      </c>
      <c r="O41" s="87">
        <f t="shared" si="8"/>
        <v>28556.69</v>
      </c>
      <c r="P41" s="87">
        <f>SUM(D41:O41)</f>
        <v>241171.34000000003</v>
      </c>
      <c r="Q41" s="87">
        <f t="shared" si="8"/>
        <v>188585.40000000002</v>
      </c>
      <c r="R41" s="125">
        <f>C41+P41-Q41</f>
        <v>52585.94</v>
      </c>
      <c r="S41" s="88"/>
      <c r="U41" s="88"/>
    </row>
    <row r="42" spans="1:21" ht="31.5" customHeight="1">
      <c r="A42" s="97"/>
      <c r="B42" s="119" t="s">
        <v>93</v>
      </c>
      <c r="C42" s="128">
        <f>C43+C44</f>
        <v>0</v>
      </c>
      <c r="D42" s="128">
        <f>D43+D44</f>
        <v>0</v>
      </c>
      <c r="E42" s="128">
        <f aca="true" t="shared" si="9" ref="E42:Q42">E43+E44</f>
        <v>0</v>
      </c>
      <c r="F42" s="128">
        <f t="shared" si="9"/>
        <v>0</v>
      </c>
      <c r="G42" s="128">
        <f t="shared" si="9"/>
        <v>0</v>
      </c>
      <c r="H42" s="128">
        <f t="shared" si="9"/>
        <v>15387.96</v>
      </c>
      <c r="I42" s="128">
        <f t="shared" si="9"/>
        <v>14979.5</v>
      </c>
      <c r="J42" s="128">
        <f t="shared" si="9"/>
        <v>14979.51</v>
      </c>
      <c r="K42" s="128">
        <f t="shared" si="9"/>
        <v>14979.509999999998</v>
      </c>
      <c r="L42" s="128">
        <f t="shared" si="9"/>
        <v>15079.51</v>
      </c>
      <c r="M42" s="128">
        <f t="shared" si="9"/>
        <v>14979.509999999998</v>
      </c>
      <c r="N42" s="128">
        <f t="shared" si="9"/>
        <v>16696.7</v>
      </c>
      <c r="O42" s="128">
        <f t="shared" si="9"/>
        <v>17503.91</v>
      </c>
      <c r="P42" s="128">
        <f t="shared" si="9"/>
        <v>124586.11</v>
      </c>
      <c r="Q42" s="128">
        <f t="shared" si="9"/>
        <v>107082.20000000001</v>
      </c>
      <c r="R42" s="122">
        <f>C42+P42-Q42</f>
        <v>17503.90999999999</v>
      </c>
      <c r="T42" s="89"/>
      <c r="U42" s="101"/>
    </row>
    <row r="43" spans="1:20" s="96" customFormat="1" ht="15">
      <c r="A43" s="90"/>
      <c r="B43" s="118" t="s">
        <v>88</v>
      </c>
      <c r="C43" s="129"/>
      <c r="D43" s="129">
        <f>январь!E13</f>
        <v>0</v>
      </c>
      <c r="E43" s="129">
        <f>февраль!E13</f>
        <v>0</v>
      </c>
      <c r="F43" s="129">
        <f>март!E13</f>
        <v>0</v>
      </c>
      <c r="G43" s="129">
        <f>апрель!E13</f>
        <v>0</v>
      </c>
      <c r="H43" s="129">
        <f>май!E13</f>
        <v>11636.21</v>
      </c>
      <c r="I43" s="129">
        <f>июнь!E13</f>
        <v>11425.05</v>
      </c>
      <c r="J43" s="91">
        <f>июль!E13</f>
        <v>11425.04</v>
      </c>
      <c r="K43" s="92">
        <f>август!E13</f>
        <v>11425.05</v>
      </c>
      <c r="L43" s="92">
        <f>сентябрь!E13</f>
        <v>11425.04</v>
      </c>
      <c r="M43" s="92">
        <f>октябрь!E13</f>
        <v>11425.05</v>
      </c>
      <c r="N43" s="92">
        <f>ноябрь!E13</f>
        <v>13142.24</v>
      </c>
      <c r="O43" s="92">
        <f>декабрь!E13</f>
        <v>13949.45</v>
      </c>
      <c r="P43" s="93">
        <f>SUM(D43:O43)</f>
        <v>95853.13</v>
      </c>
      <c r="Q43" s="94">
        <f>P43-O43</f>
        <v>81903.68000000001</v>
      </c>
      <c r="R43" s="122">
        <f>C43+P43-Q43</f>
        <v>13949.449999999997</v>
      </c>
      <c r="S43" s="95"/>
      <c r="T43" s="89"/>
    </row>
    <row r="44" spans="1:20" s="96" customFormat="1" ht="15">
      <c r="A44" s="90"/>
      <c r="B44" s="118" t="s">
        <v>89</v>
      </c>
      <c r="C44" s="129"/>
      <c r="D44" s="129">
        <f>январь!E15</f>
        <v>0</v>
      </c>
      <c r="E44" s="129">
        <f>февраль!E15</f>
        <v>0</v>
      </c>
      <c r="F44" s="129">
        <f>март!E15</f>
        <v>0</v>
      </c>
      <c r="G44" s="129">
        <f>апрель!E15</f>
        <v>0</v>
      </c>
      <c r="H44" s="129">
        <f>май!E15</f>
        <v>3751.75</v>
      </c>
      <c r="I44" s="129">
        <f>июнь!E15</f>
        <v>3554.45</v>
      </c>
      <c r="J44" s="91">
        <f>июль!E15</f>
        <v>3554.47</v>
      </c>
      <c r="K44" s="92">
        <f>август!E16</f>
        <v>3554.46</v>
      </c>
      <c r="L44" s="92">
        <f>сентябрь!E15</f>
        <v>3654.47</v>
      </c>
      <c r="M44" s="92">
        <f>октябрь!E15</f>
        <v>3554.46</v>
      </c>
      <c r="N44" s="92">
        <f>ноябрь!E15</f>
        <v>3554.46</v>
      </c>
      <c r="O44" s="92">
        <f>декабрь!E15</f>
        <v>3554.46</v>
      </c>
      <c r="P44" s="93">
        <f>SUM(D44:O44)</f>
        <v>28732.98</v>
      </c>
      <c r="Q44" s="94">
        <f>P44-O44</f>
        <v>25178.52</v>
      </c>
      <c r="R44" s="122">
        <f>C44+P44-Q44</f>
        <v>3554.459999999999</v>
      </c>
      <c r="S44" s="95"/>
      <c r="T44" s="89"/>
    </row>
    <row r="45" spans="1:20" ht="15">
      <c r="A45" s="97"/>
      <c r="B45" s="123" t="s">
        <v>90</v>
      </c>
      <c r="C45" s="128"/>
      <c r="D45" s="128">
        <f>январь!F13+январь!F15</f>
        <v>0</v>
      </c>
      <c r="E45" s="128">
        <f>январь!F13+январь!F15</f>
        <v>0</v>
      </c>
      <c r="F45" s="128">
        <f>январь!F13+январь!F15</f>
        <v>0</v>
      </c>
      <c r="G45" s="128">
        <f>апрель!F13+апрель!F15</f>
        <v>0</v>
      </c>
      <c r="H45" s="128">
        <f>май!F13+май!F15</f>
        <v>0</v>
      </c>
      <c r="I45" s="128">
        <f>июнь!F13+июнь!F15</f>
        <v>356</v>
      </c>
      <c r="J45" s="128">
        <f>июль!F13+июль!F15</f>
        <v>698</v>
      </c>
      <c r="K45" s="128">
        <f>август!F13+август!F16</f>
        <v>378</v>
      </c>
      <c r="L45" s="128">
        <f>сентябрь!F13+сентябрь!F15</f>
        <v>382</v>
      </c>
      <c r="M45" s="128">
        <f>октябрь!F13+октябрь!F15</f>
        <v>511</v>
      </c>
      <c r="N45" s="128">
        <f>ноябрь!F13+ноябрь!F15</f>
        <v>937.35</v>
      </c>
      <c r="O45" s="128">
        <f>декабрь!F13+декабрь!F15</f>
        <v>600</v>
      </c>
      <c r="P45" s="93">
        <f>SUM(D45:O45)</f>
        <v>3862.35</v>
      </c>
      <c r="Q45" s="128">
        <f>P45</f>
        <v>3862.35</v>
      </c>
      <c r="R45" s="128">
        <f>январь!T13+январь!T15</f>
        <v>0</v>
      </c>
      <c r="T45" s="89"/>
    </row>
    <row r="46" spans="1:20" ht="15.75">
      <c r="A46" s="97"/>
      <c r="B46" s="56" t="s">
        <v>107</v>
      </c>
      <c r="C46" s="128"/>
      <c r="D46" s="128">
        <f>январь!E40</f>
        <v>0</v>
      </c>
      <c r="E46" s="128">
        <f>февраль!G40</f>
        <v>0</v>
      </c>
      <c r="F46" s="128">
        <f>март!G40</f>
        <v>0</v>
      </c>
      <c r="G46" s="128">
        <f>апрель!G41</f>
        <v>0</v>
      </c>
      <c r="H46" s="99">
        <f>май!G41</f>
        <v>7435.8</v>
      </c>
      <c r="I46" s="99">
        <f>июнь!G42</f>
        <v>7435.8</v>
      </c>
      <c r="J46" s="100">
        <f>июль!G42</f>
        <v>7435.8</v>
      </c>
      <c r="K46" s="100">
        <f>август!G42</f>
        <v>7435.8</v>
      </c>
      <c r="L46" s="100">
        <f>сентябрь!G41</f>
        <v>7435.8</v>
      </c>
      <c r="M46" s="100">
        <f>октябрь!G41</f>
        <v>7435.8</v>
      </c>
      <c r="N46" s="121">
        <f>ноябрь!G41</f>
        <v>7435.8</v>
      </c>
      <c r="O46" s="121">
        <f>декабрь!G41</f>
        <v>7435.8</v>
      </c>
      <c r="P46" s="99">
        <f aca="true" t="shared" si="10" ref="P46:P76">SUM(D46:O46)</f>
        <v>59486.40000000001</v>
      </c>
      <c r="Q46" s="100">
        <f>Q11</f>
        <v>44329.48</v>
      </c>
      <c r="R46" s="122">
        <f aca="true" t="shared" si="11" ref="R46:R54">C46+P46-Q46</f>
        <v>15156.920000000006</v>
      </c>
      <c r="T46" s="89"/>
    </row>
    <row r="47" spans="1:20" ht="15">
      <c r="A47" s="97"/>
      <c r="B47" s="123" t="s">
        <v>91</v>
      </c>
      <c r="C47" s="128"/>
      <c r="D47" s="128">
        <f>январь!E16</f>
        <v>0</v>
      </c>
      <c r="E47" s="128">
        <f>февраль!G16</f>
        <v>0</v>
      </c>
      <c r="F47" s="128">
        <f>март!G16</f>
        <v>0</v>
      </c>
      <c r="G47" s="128">
        <f>апрель!G16</f>
        <v>0</v>
      </c>
      <c r="H47" s="99">
        <f>май!G16</f>
        <v>780.98</v>
      </c>
      <c r="I47" s="99">
        <f>июнь!G16</f>
        <v>780.98</v>
      </c>
      <c r="J47" s="100">
        <f>июль!G16</f>
        <v>4849.360000000001</v>
      </c>
      <c r="K47" s="100">
        <f>август!G17</f>
        <v>780.98</v>
      </c>
      <c r="L47" s="100">
        <f>сентябрь!G16</f>
        <v>780.98</v>
      </c>
      <c r="M47" s="100">
        <f>октябрь!G16</f>
        <v>780.98</v>
      </c>
      <c r="N47" s="92">
        <f>ноябрь!G16</f>
        <v>780.98</v>
      </c>
      <c r="O47" s="121">
        <f>декабрь!G16</f>
        <v>780.98</v>
      </c>
      <c r="P47" s="99">
        <f t="shared" si="10"/>
        <v>10316.22</v>
      </c>
      <c r="Q47" s="100">
        <f>P47-O47</f>
        <v>9535.24</v>
      </c>
      <c r="R47" s="122">
        <f t="shared" si="11"/>
        <v>780.9799999999996</v>
      </c>
      <c r="T47" s="89"/>
    </row>
    <row r="48" spans="1:20" ht="15">
      <c r="A48" s="97"/>
      <c r="B48" s="123" t="s">
        <v>92</v>
      </c>
      <c r="C48" s="128"/>
      <c r="D48" s="128">
        <f>январь!E21</f>
        <v>0</v>
      </c>
      <c r="E48" s="128">
        <f>февраль!G21</f>
        <v>0</v>
      </c>
      <c r="F48" s="128">
        <f>март!G21</f>
        <v>0</v>
      </c>
      <c r="G48" s="128">
        <f>апрель!G21</f>
        <v>0</v>
      </c>
      <c r="H48" s="99">
        <f>май!G18</f>
        <v>0</v>
      </c>
      <c r="I48" s="99">
        <f>июнь!G21</f>
        <v>0</v>
      </c>
      <c r="J48" s="100">
        <f>июль!G21</f>
        <v>0</v>
      </c>
      <c r="K48" s="100">
        <f>август!G22</f>
        <v>0</v>
      </c>
      <c r="L48" s="100">
        <f>сентябрь!G21</f>
        <v>0</v>
      </c>
      <c r="M48" s="100">
        <f>октябрь!G21</f>
        <v>0</v>
      </c>
      <c r="N48" s="92">
        <f>ноябрь!G21</f>
        <v>0</v>
      </c>
      <c r="O48" s="121">
        <f>декабрь!G17</f>
        <v>0</v>
      </c>
      <c r="P48" s="99">
        <f t="shared" si="10"/>
        <v>0</v>
      </c>
      <c r="Q48" s="100">
        <f>P48-O48</f>
        <v>0</v>
      </c>
      <c r="R48" s="122">
        <f t="shared" si="11"/>
        <v>0</v>
      </c>
      <c r="T48" s="89"/>
    </row>
    <row r="49" spans="1:20" ht="15">
      <c r="A49" s="97"/>
      <c r="B49" s="171" t="s">
        <v>148</v>
      </c>
      <c r="C49" s="128"/>
      <c r="D49" s="128">
        <f>январь!E17</f>
        <v>0</v>
      </c>
      <c r="E49" s="128">
        <f>февраль!G17</f>
        <v>0</v>
      </c>
      <c r="F49" s="128">
        <f>март!G17</f>
        <v>0</v>
      </c>
      <c r="G49" s="128">
        <f>апрель!G17</f>
        <v>0</v>
      </c>
      <c r="H49" s="99"/>
      <c r="I49" s="99">
        <f>июнь!G17</f>
        <v>0</v>
      </c>
      <c r="J49" s="100">
        <f>июль!G17</f>
        <v>2727.2</v>
      </c>
      <c r="K49" s="100">
        <f>август!G18</f>
        <v>472.92</v>
      </c>
      <c r="L49" s="100">
        <f>сентябрь!G17</f>
        <v>-277.07</v>
      </c>
      <c r="M49" s="100">
        <f>октябрь!G17</f>
        <v>0</v>
      </c>
      <c r="N49" s="92">
        <f>ноябрь!G17</f>
        <v>250.12</v>
      </c>
      <c r="O49" s="121">
        <f>декабрь!G17</f>
        <v>0</v>
      </c>
      <c r="P49" s="99">
        <f t="shared" si="10"/>
        <v>3173.1699999999996</v>
      </c>
      <c r="Q49" s="100">
        <f>Q5</f>
        <v>1072.51</v>
      </c>
      <c r="R49" s="122">
        <f t="shared" si="11"/>
        <v>2100.66</v>
      </c>
      <c r="T49" s="89"/>
    </row>
    <row r="50" spans="1:20" ht="15">
      <c r="A50" s="97"/>
      <c r="B50" s="171" t="s">
        <v>149</v>
      </c>
      <c r="C50" s="128"/>
      <c r="D50" s="128">
        <f>январь!E18</f>
        <v>0</v>
      </c>
      <c r="E50" s="128">
        <f>февраль!G18</f>
        <v>0</v>
      </c>
      <c r="F50" s="128">
        <f>март!G18</f>
        <v>0</v>
      </c>
      <c r="G50" s="128">
        <f>апрель!G18</f>
        <v>0</v>
      </c>
      <c r="H50" s="99">
        <f>май!G20</f>
        <v>0</v>
      </c>
      <c r="I50" s="99">
        <f>июнь!G18</f>
        <v>0</v>
      </c>
      <c r="J50" s="100">
        <f>июль!G18</f>
        <v>0</v>
      </c>
      <c r="K50" s="100">
        <f>август!G19</f>
        <v>0</v>
      </c>
      <c r="L50" s="100">
        <f>сентябрь!G18</f>
        <v>0</v>
      </c>
      <c r="M50" s="100">
        <f>октябрь!G18</f>
        <v>0</v>
      </c>
      <c r="N50" s="92">
        <f>ноябрь!G18</f>
        <v>0</v>
      </c>
      <c r="O50" s="121">
        <f>декабрь!G18</f>
        <v>0</v>
      </c>
      <c r="P50" s="99">
        <f t="shared" si="10"/>
        <v>0</v>
      </c>
      <c r="Q50" s="100"/>
      <c r="R50" s="122">
        <f t="shared" si="11"/>
        <v>0</v>
      </c>
      <c r="T50" s="89"/>
    </row>
    <row r="51" spans="1:20" ht="15">
      <c r="A51" s="97"/>
      <c r="B51" s="171" t="s">
        <v>150</v>
      </c>
      <c r="C51" s="128"/>
      <c r="D51" s="128">
        <f>январь!E19</f>
        <v>0</v>
      </c>
      <c r="E51" s="128">
        <f>февраль!G19</f>
        <v>0</v>
      </c>
      <c r="F51" s="128">
        <f>март!G19</f>
        <v>0</v>
      </c>
      <c r="G51" s="128">
        <f>апрель!G19</f>
        <v>0</v>
      </c>
      <c r="H51" s="99">
        <v>601.93</v>
      </c>
      <c r="I51" s="99">
        <f>июнь!G19</f>
        <v>0</v>
      </c>
      <c r="J51" s="100">
        <f>июль!G19</f>
        <v>0</v>
      </c>
      <c r="K51" s="100">
        <f>август!G20</f>
        <v>9774.51</v>
      </c>
      <c r="L51" s="100">
        <f>сентябрь!G19</f>
        <v>2842.47</v>
      </c>
      <c r="M51" s="100">
        <f>октябрь!G19</f>
        <v>2680.81</v>
      </c>
      <c r="N51" s="92">
        <f>ноябрь!G19</f>
        <v>359.37</v>
      </c>
      <c r="O51" s="121">
        <f>декабрь!G19</f>
        <v>0</v>
      </c>
      <c r="P51" s="99">
        <f t="shared" si="10"/>
        <v>16259.09</v>
      </c>
      <c r="Q51" s="100">
        <f>Q7</f>
        <v>3119.09</v>
      </c>
      <c r="R51" s="122">
        <f t="shared" si="11"/>
        <v>13140</v>
      </c>
      <c r="T51" s="89"/>
    </row>
    <row r="52" spans="1:20" ht="15">
      <c r="A52" s="97"/>
      <c r="B52" s="171" t="s">
        <v>151</v>
      </c>
      <c r="C52" s="128"/>
      <c r="D52" s="128">
        <f>январь!E20</f>
        <v>0</v>
      </c>
      <c r="E52" s="128">
        <f>февраль!G20</f>
        <v>0</v>
      </c>
      <c r="F52" s="128">
        <f>март!G20</f>
        <v>0</v>
      </c>
      <c r="G52" s="128">
        <f>апрель!G20</f>
        <v>0</v>
      </c>
      <c r="H52" s="99">
        <f>май!G20</f>
        <v>0</v>
      </c>
      <c r="I52" s="99">
        <f>июнь!G20</f>
        <v>0</v>
      </c>
      <c r="J52" s="100">
        <f>июль!G20</f>
        <v>0</v>
      </c>
      <c r="K52" s="100">
        <f>август!G21</f>
        <v>0</v>
      </c>
      <c r="L52" s="100">
        <f>сентябрь!G20</f>
        <v>0</v>
      </c>
      <c r="M52" s="100">
        <f>октябрь!G20</f>
        <v>0</v>
      </c>
      <c r="N52" s="92">
        <f>ноябрь!G20</f>
        <v>0</v>
      </c>
      <c r="O52" s="121">
        <f>декабрь!G20</f>
        <v>0</v>
      </c>
      <c r="P52" s="99">
        <f t="shared" si="10"/>
        <v>0</v>
      </c>
      <c r="Q52" s="100"/>
      <c r="R52" s="122">
        <f t="shared" si="11"/>
        <v>0</v>
      </c>
      <c r="T52" s="89"/>
    </row>
    <row r="53" spans="1:20" ht="15">
      <c r="A53" s="97"/>
      <c r="B53" s="171" t="s">
        <v>33</v>
      </c>
      <c r="C53" s="128"/>
      <c r="D53" s="128"/>
      <c r="E53" s="128"/>
      <c r="F53" s="128"/>
      <c r="G53" s="128">
        <f>апрель!G28</f>
        <v>0</v>
      </c>
      <c r="H53" s="99">
        <f>май!G28</f>
        <v>2236</v>
      </c>
      <c r="I53" s="99">
        <f>июнь!G29</f>
        <v>2236</v>
      </c>
      <c r="J53" s="100">
        <f>июль!G28</f>
        <v>2236</v>
      </c>
      <c r="K53" s="100">
        <f>август!G29</f>
        <v>2236</v>
      </c>
      <c r="L53" s="100">
        <f>сентябрь!G28</f>
        <v>2236</v>
      </c>
      <c r="M53" s="100">
        <f>октябрь!G28</f>
        <v>2236</v>
      </c>
      <c r="N53" s="92">
        <f>ноябрь!G28</f>
        <v>2236</v>
      </c>
      <c r="O53" s="121">
        <f>декабрь!G28</f>
        <v>2236</v>
      </c>
      <c r="P53" s="99">
        <f t="shared" si="10"/>
        <v>17888</v>
      </c>
      <c r="Q53" s="100">
        <f>Q12</f>
        <v>13984.53</v>
      </c>
      <c r="R53" s="122">
        <f t="shared" si="11"/>
        <v>3903.4699999999993</v>
      </c>
      <c r="T53" s="89"/>
    </row>
    <row r="54" spans="1:20" ht="15">
      <c r="A54" s="97"/>
      <c r="B54" s="171" t="s">
        <v>104</v>
      </c>
      <c r="C54" s="128"/>
      <c r="D54" s="128"/>
      <c r="E54" s="128"/>
      <c r="F54" s="128"/>
      <c r="G54" s="128"/>
      <c r="H54" s="99"/>
      <c r="I54" s="99">
        <f>июнь!G28</f>
        <v>2800</v>
      </c>
      <c r="J54" s="100">
        <f>июль!G29</f>
        <v>2800</v>
      </c>
      <c r="K54" s="100"/>
      <c r="L54" s="100"/>
      <c r="M54" s="100"/>
      <c r="N54" s="100"/>
      <c r="O54" s="121"/>
      <c r="P54" s="99">
        <f t="shared" si="10"/>
        <v>5600</v>
      </c>
      <c r="Q54" s="100">
        <f>P54</f>
        <v>5600</v>
      </c>
      <c r="R54" s="122">
        <f t="shared" si="11"/>
        <v>0</v>
      </c>
      <c r="T54" s="89"/>
    </row>
    <row r="55" spans="1:19" s="89" customFormat="1" ht="28.5">
      <c r="A55" s="85">
        <v>2</v>
      </c>
      <c r="B55" s="120" t="s">
        <v>98</v>
      </c>
      <c r="C55" s="87">
        <f aca="true" t="shared" si="12" ref="C55:H55">C56+C57</f>
        <v>0</v>
      </c>
      <c r="D55" s="87">
        <f t="shared" si="12"/>
        <v>0</v>
      </c>
      <c r="E55" s="87">
        <f t="shared" si="12"/>
        <v>0</v>
      </c>
      <c r="F55" s="87">
        <f t="shared" si="12"/>
        <v>0</v>
      </c>
      <c r="G55" s="87">
        <f t="shared" si="12"/>
        <v>0</v>
      </c>
      <c r="H55" s="87">
        <f t="shared" si="12"/>
        <v>7487.16</v>
      </c>
      <c r="I55" s="87">
        <f>I56+I57+I58</f>
        <v>6090.16</v>
      </c>
      <c r="J55" s="87">
        <f aca="true" t="shared" si="13" ref="J55:R55">J56+J57+J58</f>
        <v>24438.26</v>
      </c>
      <c r="K55" s="87">
        <f t="shared" si="13"/>
        <v>14262.16</v>
      </c>
      <c r="L55" s="87">
        <f t="shared" si="13"/>
        <v>12008.81</v>
      </c>
      <c r="M55" s="87">
        <f t="shared" si="13"/>
        <v>13803.48</v>
      </c>
      <c r="N55" s="87">
        <f t="shared" si="13"/>
        <v>6025.16</v>
      </c>
      <c r="O55" s="87">
        <f t="shared" si="13"/>
        <v>6025.16</v>
      </c>
      <c r="P55" s="87">
        <f t="shared" si="13"/>
        <v>90140.34999999999</v>
      </c>
      <c r="Q55" s="87">
        <f t="shared" si="13"/>
        <v>84115.18999999999</v>
      </c>
      <c r="R55" s="87">
        <f t="shared" si="13"/>
        <v>6025.1600000000035</v>
      </c>
      <c r="S55" s="88"/>
    </row>
    <row r="56" spans="1:20" ht="30">
      <c r="A56" s="97"/>
      <c r="B56" s="119" t="s">
        <v>93</v>
      </c>
      <c r="C56" s="99"/>
      <c r="D56" s="99">
        <f>январь!E23</f>
        <v>0</v>
      </c>
      <c r="E56" s="99">
        <f>февраль!E23</f>
        <v>0</v>
      </c>
      <c r="F56" s="99">
        <f>март!E23</f>
        <v>0</v>
      </c>
      <c r="G56" s="99">
        <f>апрель!E23</f>
        <v>0</v>
      </c>
      <c r="H56" s="99">
        <f>май!E23</f>
        <v>6025.16</v>
      </c>
      <c r="I56" s="99">
        <f>июнь!E23</f>
        <v>6025.16</v>
      </c>
      <c r="J56" s="99">
        <f>июль!E23</f>
        <v>6025.16</v>
      </c>
      <c r="K56" s="121">
        <f>август!E24</f>
        <v>6025.16</v>
      </c>
      <c r="L56" s="100">
        <f>сентябрь!E23</f>
        <v>6025.16</v>
      </c>
      <c r="M56" s="100">
        <f>октябрь!E23</f>
        <v>6025.16</v>
      </c>
      <c r="N56" s="100">
        <f>ноябрь!E23</f>
        <v>6025.16</v>
      </c>
      <c r="O56" s="100">
        <f>декабрь!E23</f>
        <v>6025.16</v>
      </c>
      <c r="P56" s="99">
        <f t="shared" si="10"/>
        <v>48201.28</v>
      </c>
      <c r="Q56" s="100">
        <f>P56-O56</f>
        <v>42176.119999999995</v>
      </c>
      <c r="R56" s="122">
        <f>C56+P56-Q56</f>
        <v>6025.1600000000035</v>
      </c>
      <c r="T56" s="89"/>
    </row>
    <row r="57" spans="1:18" ht="15">
      <c r="A57" s="97"/>
      <c r="B57" s="123" t="s">
        <v>90</v>
      </c>
      <c r="C57" s="124"/>
      <c r="D57" s="99">
        <f>январь!F23</f>
        <v>0</v>
      </c>
      <c r="E57" s="128">
        <f>февраль!F19</f>
        <v>0</v>
      </c>
      <c r="F57" s="128">
        <f>март!F23</f>
        <v>0</v>
      </c>
      <c r="G57" s="136">
        <f>апрель!F23</f>
        <v>0</v>
      </c>
      <c r="H57" s="99">
        <f>май!F23</f>
        <v>1462</v>
      </c>
      <c r="I57" s="99">
        <f>июнь!F23</f>
        <v>65</v>
      </c>
      <c r="J57" s="100">
        <f>июль!F23</f>
        <v>18413.1</v>
      </c>
      <c r="K57" s="121">
        <f>август!F24</f>
        <v>8237</v>
      </c>
      <c r="L57" s="100">
        <f>сентябрь!F23</f>
        <v>1598.7</v>
      </c>
      <c r="M57" s="100">
        <f>октябрь!F23</f>
        <v>3093.37</v>
      </c>
      <c r="N57" s="100">
        <f>ноябрь!F23</f>
        <v>0</v>
      </c>
      <c r="O57" s="100">
        <f>декабрь!F23</f>
        <v>0</v>
      </c>
      <c r="P57" s="99">
        <f t="shared" si="10"/>
        <v>32869.17</v>
      </c>
      <c r="Q57" s="100">
        <f>P57</f>
        <v>32869.17</v>
      </c>
      <c r="R57" s="122">
        <f>C57+P57-Q57</f>
        <v>0</v>
      </c>
    </row>
    <row r="58" spans="1:19" s="140" customFormat="1" ht="15">
      <c r="A58" s="137"/>
      <c r="B58" s="169" t="s">
        <v>146</v>
      </c>
      <c r="C58" s="138"/>
      <c r="D58" s="129">
        <f>январь!G36</f>
        <v>0</v>
      </c>
      <c r="E58" s="129">
        <f>февраль!G36</f>
        <v>0</v>
      </c>
      <c r="F58" s="99">
        <f>март!G36</f>
        <v>0</v>
      </c>
      <c r="G58" s="99">
        <f>апрель!G37</f>
        <v>0</v>
      </c>
      <c r="H58" s="99">
        <f>май!G38</f>
        <v>0</v>
      </c>
      <c r="I58" s="99">
        <f>июнь!G38</f>
        <v>0</v>
      </c>
      <c r="J58" s="93">
        <f>июль!G38</f>
        <v>0</v>
      </c>
      <c r="K58" s="99">
        <f>июль!G38</f>
        <v>0</v>
      </c>
      <c r="L58" s="93">
        <f>сентябрь!G38</f>
        <v>4384.95</v>
      </c>
      <c r="M58" s="100">
        <f>октябрь!G38</f>
        <v>4684.95</v>
      </c>
      <c r="N58" s="138"/>
      <c r="O58" s="138"/>
      <c r="P58" s="99">
        <f>SUM(D58:O58)</f>
        <v>9069.9</v>
      </c>
      <c r="Q58" s="93">
        <f>P58</f>
        <v>9069.9</v>
      </c>
      <c r="R58" s="122">
        <f>C58+P58-Q58</f>
        <v>0</v>
      </c>
      <c r="S58" s="139"/>
    </row>
    <row r="59" spans="1:26" s="89" customFormat="1" ht="14.25">
      <c r="A59" s="85">
        <v>3</v>
      </c>
      <c r="B59" s="127" t="s">
        <v>97</v>
      </c>
      <c r="C59" s="131">
        <f aca="true" t="shared" si="14" ref="C59:H59">C60+C61</f>
        <v>0</v>
      </c>
      <c r="D59" s="131">
        <f t="shared" si="14"/>
        <v>0</v>
      </c>
      <c r="E59" s="131">
        <f t="shared" si="14"/>
        <v>0</v>
      </c>
      <c r="F59" s="131">
        <f t="shared" si="14"/>
        <v>0</v>
      </c>
      <c r="G59" s="131">
        <f t="shared" si="14"/>
        <v>0</v>
      </c>
      <c r="H59" s="131">
        <f t="shared" si="14"/>
        <v>3083.52</v>
      </c>
      <c r="I59" s="131">
        <f>I60+I61+I62</f>
        <v>2981.52</v>
      </c>
      <c r="J59" s="131">
        <f aca="true" t="shared" si="15" ref="J59:Q59">J60+J61+J62</f>
        <v>2981.52</v>
      </c>
      <c r="K59" s="131">
        <f t="shared" si="15"/>
        <v>3070.62</v>
      </c>
      <c r="L59" s="131">
        <f t="shared" si="15"/>
        <v>2981.52</v>
      </c>
      <c r="M59" s="131">
        <f t="shared" si="15"/>
        <v>2981.52</v>
      </c>
      <c r="N59" s="131">
        <f t="shared" si="15"/>
        <v>2981.52</v>
      </c>
      <c r="O59" s="131">
        <f t="shared" si="15"/>
        <v>10981.52</v>
      </c>
      <c r="P59" s="131">
        <f t="shared" si="15"/>
        <v>32043.26</v>
      </c>
      <c r="Q59" s="131">
        <f t="shared" si="15"/>
        <v>29061.739999999998</v>
      </c>
      <c r="R59" s="131">
        <f>R60+R61+R62</f>
        <v>2981.5200000000004</v>
      </c>
      <c r="S59" s="88"/>
      <c r="X59" s="88"/>
      <c r="Z59" s="88"/>
    </row>
    <row r="60" spans="1:18" ht="15" customHeight="1">
      <c r="A60" s="97"/>
      <c r="B60" s="119" t="s">
        <v>93</v>
      </c>
      <c r="C60" s="99"/>
      <c r="D60" s="99">
        <f>январь!E22</f>
        <v>0</v>
      </c>
      <c r="E60" s="99">
        <f>февраль!E22</f>
        <v>0</v>
      </c>
      <c r="F60" s="99">
        <f>март!E22</f>
        <v>0</v>
      </c>
      <c r="G60" s="99">
        <f>апрель!E22</f>
        <v>0</v>
      </c>
      <c r="H60" s="99">
        <f>май!E22</f>
        <v>2981.52</v>
      </c>
      <c r="I60" s="99">
        <f>июнь!E22</f>
        <v>2981.52</v>
      </c>
      <c r="J60" s="99">
        <f>июль!E22</f>
        <v>2981.52</v>
      </c>
      <c r="K60" s="99">
        <f>август!E23</f>
        <v>2981.52</v>
      </c>
      <c r="L60" s="99">
        <f>сентябрь!E22</f>
        <v>2981.52</v>
      </c>
      <c r="M60" s="100">
        <f>октябрь!G22</f>
        <v>2981.52</v>
      </c>
      <c r="N60" s="100">
        <f>ноябрь!G22</f>
        <v>2981.52</v>
      </c>
      <c r="O60" s="99">
        <f>декабрь!E22</f>
        <v>2981.52</v>
      </c>
      <c r="P60" s="99">
        <f t="shared" si="10"/>
        <v>23852.16</v>
      </c>
      <c r="Q60" s="100">
        <f>P60-O60</f>
        <v>20870.64</v>
      </c>
      <c r="R60" s="122">
        <f>C60+P60-Q60</f>
        <v>2981.5200000000004</v>
      </c>
    </row>
    <row r="61" spans="1:26" ht="15">
      <c r="A61" s="97"/>
      <c r="B61" s="123" t="s">
        <v>90</v>
      </c>
      <c r="C61" s="99"/>
      <c r="D61" s="99">
        <f>январь!F22</f>
        <v>0</v>
      </c>
      <c r="E61" s="99">
        <f>февраль!F22</f>
        <v>0</v>
      </c>
      <c r="F61" s="99">
        <f>март!F22</f>
        <v>0</v>
      </c>
      <c r="G61" s="99">
        <f>апрель!F22</f>
        <v>0</v>
      </c>
      <c r="H61" s="99">
        <f>май!F22</f>
        <v>102</v>
      </c>
      <c r="I61" s="99">
        <f>июнь!F22</f>
        <v>0</v>
      </c>
      <c r="J61" s="100">
        <f>июль!F22</f>
        <v>0</v>
      </c>
      <c r="K61" s="99">
        <f>август!F23</f>
        <v>89.1</v>
      </c>
      <c r="L61" s="99">
        <f>сентябрь!F22</f>
        <v>0</v>
      </c>
      <c r="M61" s="100">
        <f>октябрь!F22</f>
        <v>0</v>
      </c>
      <c r="N61" s="100">
        <f>ноябрь!F22</f>
        <v>0</v>
      </c>
      <c r="O61" s="99">
        <f>декабрь!F23</f>
        <v>0</v>
      </c>
      <c r="P61" s="99">
        <f t="shared" si="10"/>
        <v>191.1</v>
      </c>
      <c r="Q61" s="100">
        <f>P61</f>
        <v>191.1</v>
      </c>
      <c r="R61" s="122">
        <f>C61+P61-Q61</f>
        <v>0</v>
      </c>
      <c r="Z61" s="101"/>
    </row>
    <row r="62" spans="1:19" s="140" customFormat="1" ht="19.5" customHeight="1">
      <c r="A62" s="137"/>
      <c r="B62" s="168" t="s">
        <v>142</v>
      </c>
      <c r="C62" s="138"/>
      <c r="D62" s="129">
        <f>январь!G33</f>
        <v>0</v>
      </c>
      <c r="E62" s="129">
        <f>февраль!G33</f>
        <v>0</v>
      </c>
      <c r="F62" s="99">
        <f>март!G33</f>
        <v>0</v>
      </c>
      <c r="G62" s="99">
        <f>апрель!G33</f>
        <v>0</v>
      </c>
      <c r="H62" s="99">
        <f>май!G34</f>
        <v>0</v>
      </c>
      <c r="I62" s="99">
        <f>июнь!G35</f>
        <v>0</v>
      </c>
      <c r="J62" s="100">
        <f>июль!G35</f>
        <v>0</v>
      </c>
      <c r="K62" s="93">
        <v>0</v>
      </c>
      <c r="L62" s="93">
        <v>0</v>
      </c>
      <c r="M62" s="100">
        <v>0</v>
      </c>
      <c r="N62" s="87"/>
      <c r="O62" s="100">
        <f>декабрь!E33</f>
        <v>8000</v>
      </c>
      <c r="P62" s="99">
        <f>SUM(D62:O62)</f>
        <v>8000</v>
      </c>
      <c r="Q62" s="93">
        <f>P62</f>
        <v>8000</v>
      </c>
      <c r="R62" s="122">
        <f>C62+P62-Q62</f>
        <v>0</v>
      </c>
      <c r="S62" s="139"/>
    </row>
    <row r="63" spans="1:19" s="104" customFormat="1" ht="15">
      <c r="A63" s="105"/>
      <c r="B63" s="123" t="s">
        <v>116</v>
      </c>
      <c r="C63" s="99"/>
      <c r="D63" s="99">
        <f>январь!G24</f>
        <v>0</v>
      </c>
      <c r="E63" s="136">
        <f>февраль!G24</f>
        <v>0</v>
      </c>
      <c r="F63" s="99">
        <f>март!G24</f>
        <v>0</v>
      </c>
      <c r="G63" s="99">
        <f>апрель!G24</f>
        <v>0</v>
      </c>
      <c r="H63" s="99">
        <f>май!G24</f>
        <v>7702.26</v>
      </c>
      <c r="I63" s="99">
        <f>июнь!G24</f>
        <v>7702.26</v>
      </c>
      <c r="J63" s="100">
        <f>июль!G24</f>
        <v>7702.26</v>
      </c>
      <c r="K63" s="100">
        <f>август!G25</f>
        <v>7702.26</v>
      </c>
      <c r="L63" s="100">
        <f>сентябрь!G24</f>
        <v>7702.26</v>
      </c>
      <c r="M63" s="100">
        <f>октябрь!G24</f>
        <v>7702.26</v>
      </c>
      <c r="N63" s="100">
        <f>ноябрь!G24</f>
        <v>7702.26</v>
      </c>
      <c r="O63" s="99">
        <f>декабрь!E24</f>
        <v>7702.26</v>
      </c>
      <c r="P63" s="99">
        <f t="shared" si="10"/>
        <v>61618.08000000001</v>
      </c>
      <c r="Q63" s="100">
        <f>P63-O63</f>
        <v>53915.82000000001</v>
      </c>
      <c r="R63" s="122">
        <f>C63+P63-Q63</f>
        <v>7702.260000000002</v>
      </c>
      <c r="S63" s="101"/>
    </row>
    <row r="64" spans="1:19" s="162" customFormat="1" ht="26.25" customHeight="1">
      <c r="A64" s="97">
        <v>4</v>
      </c>
      <c r="B64" s="119" t="s">
        <v>127</v>
      </c>
      <c r="C64" s="124"/>
      <c r="D64" s="99">
        <f>январь!G25</f>
        <v>0</v>
      </c>
      <c r="E64" s="136">
        <f>февраль!G25</f>
        <v>0</v>
      </c>
      <c r="F64" s="99">
        <f>март!G25</f>
        <v>0</v>
      </c>
      <c r="G64" s="99">
        <f>апрель!G25</f>
        <v>0</v>
      </c>
      <c r="H64" s="99">
        <f>май!G25</f>
        <v>9416.63</v>
      </c>
      <c r="I64" s="99">
        <f>июнь!G25</f>
        <v>9416.63</v>
      </c>
      <c r="J64" s="100">
        <f>июль!G25</f>
        <v>9416.63</v>
      </c>
      <c r="K64" s="100">
        <f>август!G26</f>
        <v>9416.63</v>
      </c>
      <c r="L64" s="100">
        <f>сентябрь!G25</f>
        <v>9416.63</v>
      </c>
      <c r="M64" s="100">
        <f>октябрь!G25</f>
        <v>9416.63</v>
      </c>
      <c r="N64" s="100">
        <f>ноябрь!G25</f>
        <v>9416.63</v>
      </c>
      <c r="O64" s="99">
        <f>декабрь!E25</f>
        <v>9416.63</v>
      </c>
      <c r="P64" s="99">
        <f t="shared" si="10"/>
        <v>75333.04</v>
      </c>
      <c r="Q64" s="100">
        <f>P64-O64</f>
        <v>65916.40999999999</v>
      </c>
      <c r="R64" s="122">
        <f aca="true" t="shared" si="16" ref="R64:R76">C64+P64-Q64</f>
        <v>9416.630000000005</v>
      </c>
      <c r="S64" s="161"/>
    </row>
    <row r="65" spans="1:19" s="162" customFormat="1" ht="15">
      <c r="A65" s="163">
        <v>5</v>
      </c>
      <c r="B65" s="123" t="s">
        <v>99</v>
      </c>
      <c r="C65" s="124"/>
      <c r="D65" s="99">
        <f>январь!G26</f>
        <v>0</v>
      </c>
      <c r="E65" s="136">
        <f>февраль!G26</f>
        <v>0</v>
      </c>
      <c r="F65" s="99">
        <f>март!G26</f>
        <v>0</v>
      </c>
      <c r="G65" s="99">
        <f>апрель!G26</f>
        <v>0</v>
      </c>
      <c r="H65" s="99">
        <f>май!G26</f>
        <v>1656.4</v>
      </c>
      <c r="I65" s="99">
        <f>июнь!G26</f>
        <v>1656.4</v>
      </c>
      <c r="J65" s="100">
        <f>июль!G26</f>
        <v>1656.4</v>
      </c>
      <c r="K65" s="100">
        <f>август!G27</f>
        <v>1656.4</v>
      </c>
      <c r="L65" s="100">
        <f>сентябрь!G26</f>
        <v>1656.4</v>
      </c>
      <c r="M65" s="100">
        <f>октябрь!G26</f>
        <v>1656.4</v>
      </c>
      <c r="N65" s="100">
        <f>ноябрь!G26</f>
        <v>1656.4</v>
      </c>
      <c r="O65" s="99">
        <f>декабрь!E26</f>
        <v>1656.4</v>
      </c>
      <c r="P65" s="99">
        <f t="shared" si="10"/>
        <v>13251.199999999999</v>
      </c>
      <c r="Q65" s="100">
        <f>P65-O65</f>
        <v>11594.8</v>
      </c>
      <c r="R65" s="122">
        <f t="shared" si="16"/>
        <v>1656.3999999999996</v>
      </c>
      <c r="S65" s="161"/>
    </row>
    <row r="66" spans="1:19" s="162" customFormat="1" ht="14.25" customHeight="1">
      <c r="A66" s="163">
        <v>6</v>
      </c>
      <c r="B66" s="123" t="s">
        <v>100</v>
      </c>
      <c r="C66" s="124"/>
      <c r="D66" s="99">
        <f>январь!G27</f>
        <v>0</v>
      </c>
      <c r="E66" s="136">
        <f>февраль!G27</f>
        <v>0</v>
      </c>
      <c r="F66" s="99">
        <f>март!G27</f>
        <v>0</v>
      </c>
      <c r="G66" s="99">
        <f>апрель!G27</f>
        <v>0</v>
      </c>
      <c r="H66" s="99">
        <f>май!G27</f>
        <v>869.61</v>
      </c>
      <c r="I66" s="99">
        <f>июнь!G27</f>
        <v>869.61</v>
      </c>
      <c r="J66" s="100">
        <f>июль!G27</f>
        <v>869.61</v>
      </c>
      <c r="K66" s="100">
        <f>август!G28</f>
        <v>869.61</v>
      </c>
      <c r="L66" s="100">
        <f>сентябрь!G27</f>
        <v>869.61</v>
      </c>
      <c r="M66" s="100">
        <f>октябрь!G27</f>
        <v>869.61</v>
      </c>
      <c r="N66" s="100">
        <f>ноябрь!G27</f>
        <v>869.61</v>
      </c>
      <c r="O66" s="100">
        <f>декабрь!G27</f>
        <v>869.61</v>
      </c>
      <c r="P66" s="99">
        <f t="shared" si="10"/>
        <v>6956.879999999999</v>
      </c>
      <c r="Q66" s="100">
        <f>P66-O66</f>
        <v>6087.2699999999995</v>
      </c>
      <c r="R66" s="122">
        <f t="shared" si="16"/>
        <v>869.6099999999997</v>
      </c>
      <c r="S66" s="161"/>
    </row>
    <row r="67" spans="1:19" s="134" customFormat="1" ht="15" hidden="1">
      <c r="A67" s="106"/>
      <c r="B67" s="132" t="s">
        <v>41</v>
      </c>
      <c r="C67" s="93"/>
      <c r="D67" s="99">
        <f>январь!G28</f>
        <v>0</v>
      </c>
      <c r="E67" s="136">
        <f>февраль!G24</f>
        <v>0</v>
      </c>
      <c r="F67" s="129">
        <f>март!E59</f>
        <v>0</v>
      </c>
      <c r="G67" s="129">
        <f>апрель!E60</f>
        <v>0</v>
      </c>
      <c r="H67" s="93">
        <f>май!E60</f>
        <v>0</v>
      </c>
      <c r="I67" s="93"/>
      <c r="J67" s="103"/>
      <c r="K67" s="103"/>
      <c r="L67" s="103"/>
      <c r="M67" s="103"/>
      <c r="N67" s="100">
        <f>ноябрь!G28</f>
        <v>2236</v>
      </c>
      <c r="O67" s="103"/>
      <c r="P67" s="93">
        <f t="shared" si="10"/>
        <v>2236</v>
      </c>
      <c r="Q67" s="100">
        <f>P67-O67</f>
        <v>2236</v>
      </c>
      <c r="R67" s="130">
        <f t="shared" si="16"/>
        <v>0</v>
      </c>
      <c r="S67" s="133"/>
    </row>
    <row r="68" spans="1:19" s="134" customFormat="1" ht="15" hidden="1">
      <c r="A68" s="106"/>
      <c r="B68" s="173"/>
      <c r="C68" s="174"/>
      <c r="D68" s="175"/>
      <c r="E68" s="176"/>
      <c r="F68" s="177"/>
      <c r="G68" s="177"/>
      <c r="H68" s="99"/>
      <c r="I68" s="93"/>
      <c r="J68" s="103"/>
      <c r="K68" s="103"/>
      <c r="L68" s="103"/>
      <c r="M68" s="103"/>
      <c r="N68" s="100"/>
      <c r="O68" s="103"/>
      <c r="P68" s="99">
        <f t="shared" si="10"/>
        <v>0</v>
      </c>
      <c r="Q68" s="93"/>
      <c r="R68" s="122">
        <f t="shared" si="16"/>
        <v>0</v>
      </c>
      <c r="S68" s="133"/>
    </row>
    <row r="69" spans="1:19" s="140" customFormat="1" ht="64.5" customHeight="1">
      <c r="A69" s="137"/>
      <c r="B69" s="157" t="s">
        <v>120</v>
      </c>
      <c r="C69" s="156"/>
      <c r="D69" s="170">
        <f aca="true" t="shared" si="17" ref="D69:O69">D70+D73</f>
        <v>0</v>
      </c>
      <c r="E69" s="170">
        <f t="shared" si="17"/>
        <v>0</v>
      </c>
      <c r="F69" s="170">
        <f t="shared" si="17"/>
        <v>0</v>
      </c>
      <c r="G69" s="170">
        <f t="shared" si="17"/>
        <v>0</v>
      </c>
      <c r="H69" s="170">
        <f t="shared" si="17"/>
        <v>0</v>
      </c>
      <c r="I69" s="87">
        <f t="shared" si="17"/>
        <v>0</v>
      </c>
      <c r="J69" s="87">
        <f t="shared" si="17"/>
        <v>0</v>
      </c>
      <c r="K69" s="87">
        <f t="shared" si="17"/>
        <v>13720</v>
      </c>
      <c r="L69" s="87">
        <f t="shared" si="17"/>
        <v>4384.95</v>
      </c>
      <c r="M69" s="87">
        <f t="shared" si="17"/>
        <v>4984.95</v>
      </c>
      <c r="N69" s="87">
        <f t="shared" si="17"/>
        <v>92693</v>
      </c>
      <c r="O69" s="87">
        <f t="shared" si="17"/>
        <v>52170.4</v>
      </c>
      <c r="P69" s="87">
        <f t="shared" si="10"/>
        <v>167953.3</v>
      </c>
      <c r="Q69" s="87">
        <f>Q70+Q73</f>
        <v>167953.3</v>
      </c>
      <c r="R69" s="125">
        <f t="shared" si="16"/>
        <v>0</v>
      </c>
      <c r="S69" s="139"/>
    </row>
    <row r="70" spans="1:19" s="140" customFormat="1" ht="32.25" customHeight="1">
      <c r="A70" s="137"/>
      <c r="B70" s="119" t="s">
        <v>121</v>
      </c>
      <c r="C70" s="138"/>
      <c r="D70" s="131">
        <f>январь!G31</f>
        <v>0</v>
      </c>
      <c r="E70" s="131">
        <f>февраль!G31</f>
        <v>0</v>
      </c>
      <c r="F70" s="99">
        <f>март!G31</f>
        <v>0</v>
      </c>
      <c r="G70" s="99">
        <f>апрель!G32</f>
        <v>0</v>
      </c>
      <c r="H70" s="99">
        <f>май!G32</f>
        <v>0</v>
      </c>
      <c r="I70" s="99">
        <f>июнь!G33</f>
        <v>0</v>
      </c>
      <c r="J70" s="100">
        <f>июль!G33</f>
        <v>0</v>
      </c>
      <c r="K70" s="99">
        <f>K71</f>
        <v>0</v>
      </c>
      <c r="L70" s="99">
        <f aca="true" t="shared" si="18" ref="L70:Q70">L71+L62</f>
        <v>0</v>
      </c>
      <c r="M70" s="100">
        <f t="shared" si="18"/>
        <v>300</v>
      </c>
      <c r="N70" s="100">
        <f t="shared" si="18"/>
        <v>0</v>
      </c>
      <c r="O70" s="100">
        <f t="shared" si="18"/>
        <v>8000</v>
      </c>
      <c r="P70" s="100">
        <f t="shared" si="18"/>
        <v>8300</v>
      </c>
      <c r="Q70" s="100">
        <f t="shared" si="18"/>
        <v>8300</v>
      </c>
      <c r="R70" s="122">
        <f t="shared" si="16"/>
        <v>0</v>
      </c>
      <c r="S70" s="139"/>
    </row>
    <row r="71" spans="1:19" s="140" customFormat="1" ht="19.5" customHeight="1">
      <c r="A71" s="137"/>
      <c r="B71" s="168"/>
      <c r="C71" s="138"/>
      <c r="D71" s="129">
        <f>январь!G32</f>
        <v>0</v>
      </c>
      <c r="E71" s="129">
        <f>февраль!G32</f>
        <v>0</v>
      </c>
      <c r="F71" s="99">
        <f>март!G32</f>
        <v>0</v>
      </c>
      <c r="G71" s="99">
        <f>апрель!G33</f>
        <v>0</v>
      </c>
      <c r="H71" s="99">
        <f>май!G33</f>
        <v>0</v>
      </c>
      <c r="I71" s="99">
        <f>июнь!G34</f>
        <v>0</v>
      </c>
      <c r="J71" s="100">
        <f>июль!G34</f>
        <v>0</v>
      </c>
      <c r="K71" s="93">
        <f>август!G33</f>
        <v>0</v>
      </c>
      <c r="L71" s="99">
        <f>L62+L72</f>
        <v>0</v>
      </c>
      <c r="M71" s="100">
        <f>октябрь!F33</f>
        <v>300</v>
      </c>
      <c r="N71" s="87"/>
      <c r="O71" s="100"/>
      <c r="P71" s="99">
        <f t="shared" si="10"/>
        <v>300</v>
      </c>
      <c r="Q71" s="93">
        <f>P71</f>
        <v>300</v>
      </c>
      <c r="R71" s="122">
        <f t="shared" si="16"/>
        <v>0</v>
      </c>
      <c r="S71" s="139"/>
    </row>
    <row r="72" spans="1:19" s="140" customFormat="1" ht="19.5" customHeight="1" hidden="1">
      <c r="A72" s="137"/>
      <c r="B72" s="168"/>
      <c r="C72" s="138"/>
      <c r="D72" s="129"/>
      <c r="E72" s="129">
        <f>февраль!G34</f>
        <v>0</v>
      </c>
      <c r="F72" s="99">
        <f>март!G34</f>
        <v>0</v>
      </c>
      <c r="G72" s="99">
        <f>апрель!G34</f>
        <v>0</v>
      </c>
      <c r="H72" s="99">
        <f>май!G35</f>
        <v>0</v>
      </c>
      <c r="I72" s="99">
        <f>июнь!G36</f>
        <v>0</v>
      </c>
      <c r="J72" s="100">
        <f>июль!G36</f>
        <v>0</v>
      </c>
      <c r="K72" s="93">
        <v>0</v>
      </c>
      <c r="L72" s="93">
        <v>0</v>
      </c>
      <c r="M72" s="100">
        <f>октябрь!G34</f>
        <v>0</v>
      </c>
      <c r="N72" s="87"/>
      <c r="O72" s="87"/>
      <c r="P72" s="99">
        <f t="shared" si="10"/>
        <v>0</v>
      </c>
      <c r="Q72" s="93">
        <f>P72</f>
        <v>0</v>
      </c>
      <c r="R72" s="122">
        <f t="shared" si="16"/>
        <v>0</v>
      </c>
      <c r="S72" s="139"/>
    </row>
    <row r="73" spans="1:19" s="140" customFormat="1" ht="30">
      <c r="A73" s="137"/>
      <c r="B73" s="119" t="s">
        <v>124</v>
      </c>
      <c r="C73" s="138"/>
      <c r="D73" s="131">
        <f>январь!G34</f>
        <v>0</v>
      </c>
      <c r="E73" s="131">
        <f>февраль!G34</f>
        <v>0</v>
      </c>
      <c r="F73" s="99">
        <f>март!G34</f>
        <v>0</v>
      </c>
      <c r="G73" s="99">
        <f>апрель!G35</f>
        <v>0</v>
      </c>
      <c r="H73" s="99">
        <f>май!G36</f>
        <v>0</v>
      </c>
      <c r="I73" s="99">
        <f>июнь!G34</f>
        <v>0</v>
      </c>
      <c r="J73" s="99">
        <f>июнь!G34</f>
        <v>0</v>
      </c>
      <c r="K73" s="99">
        <f>K74+K58+K75+K76</f>
        <v>13720</v>
      </c>
      <c r="L73" s="99">
        <f aca="true" t="shared" si="19" ref="L73:R73">L74+L58+L75+L76</f>
        <v>4384.95</v>
      </c>
      <c r="M73" s="99">
        <f t="shared" si="19"/>
        <v>4684.95</v>
      </c>
      <c r="N73" s="99">
        <f t="shared" si="19"/>
        <v>92693</v>
      </c>
      <c r="O73" s="99">
        <f t="shared" si="19"/>
        <v>44170.4</v>
      </c>
      <c r="P73" s="99">
        <f t="shared" si="19"/>
        <v>159653.3</v>
      </c>
      <c r="Q73" s="99">
        <f t="shared" si="19"/>
        <v>159653.3</v>
      </c>
      <c r="R73" s="99">
        <f t="shared" si="19"/>
        <v>0</v>
      </c>
      <c r="S73" s="139"/>
    </row>
    <row r="74" spans="1:19" s="140" customFormat="1" ht="15">
      <c r="A74" s="137"/>
      <c r="B74" s="165" t="s">
        <v>179</v>
      </c>
      <c r="C74" s="138"/>
      <c r="D74" s="129">
        <f>январь!G35</f>
        <v>0</v>
      </c>
      <c r="E74" s="129">
        <f>февраль!G35</f>
        <v>0</v>
      </c>
      <c r="F74" s="99">
        <f>март!G35</f>
        <v>0</v>
      </c>
      <c r="G74" s="99">
        <f>апрель!G36</f>
        <v>0</v>
      </c>
      <c r="H74" s="99">
        <f>май!G37</f>
        <v>0</v>
      </c>
      <c r="I74" s="99">
        <f>июнь!G37</f>
        <v>0</v>
      </c>
      <c r="J74" s="93">
        <f>июль!G37</f>
        <v>0</v>
      </c>
      <c r="K74" s="99">
        <f>август!G37</f>
        <v>13720</v>
      </c>
      <c r="L74" s="93">
        <f>сентябрь!G37</f>
        <v>0</v>
      </c>
      <c r="M74" s="100">
        <f>октябрь!G37</f>
        <v>0</v>
      </c>
      <c r="N74" s="138"/>
      <c r="O74" s="138"/>
      <c r="P74" s="99">
        <f t="shared" si="10"/>
        <v>13720</v>
      </c>
      <c r="Q74" s="93">
        <f>P74</f>
        <v>13720</v>
      </c>
      <c r="R74" s="122">
        <f t="shared" si="16"/>
        <v>0</v>
      </c>
      <c r="S74" s="139"/>
    </row>
    <row r="75" spans="1:19" s="140" customFormat="1" ht="15">
      <c r="A75" s="137"/>
      <c r="B75" s="169" t="s">
        <v>191</v>
      </c>
      <c r="C75" s="138"/>
      <c r="D75" s="129"/>
      <c r="E75" s="129"/>
      <c r="F75" s="99"/>
      <c r="G75" s="99"/>
      <c r="H75" s="99"/>
      <c r="I75" s="99"/>
      <c r="J75" s="93"/>
      <c r="K75" s="99"/>
      <c r="L75" s="93"/>
      <c r="M75" s="100"/>
      <c r="N75" s="100">
        <f>ноябрь!G35</f>
        <v>92693</v>
      </c>
      <c r="O75" s="180"/>
      <c r="P75" s="99">
        <f t="shared" si="10"/>
        <v>92693</v>
      </c>
      <c r="Q75" s="93">
        <f>P75</f>
        <v>92693</v>
      </c>
      <c r="R75" s="122">
        <f t="shared" si="16"/>
        <v>0</v>
      </c>
      <c r="S75" s="139"/>
    </row>
    <row r="76" spans="1:19" s="140" customFormat="1" ht="30">
      <c r="A76" s="137"/>
      <c r="B76" s="168" t="s">
        <v>194</v>
      </c>
      <c r="C76" s="138"/>
      <c r="D76" s="129"/>
      <c r="E76" s="129"/>
      <c r="F76" s="99"/>
      <c r="G76" s="99"/>
      <c r="H76" s="99"/>
      <c r="I76" s="99"/>
      <c r="J76" s="93"/>
      <c r="K76" s="99"/>
      <c r="L76" s="93"/>
      <c r="M76" s="100"/>
      <c r="N76" s="138"/>
      <c r="O76" s="100">
        <f>декабрь!G36</f>
        <v>44170.4</v>
      </c>
      <c r="P76" s="99">
        <f t="shared" si="10"/>
        <v>44170.4</v>
      </c>
      <c r="Q76" s="93">
        <f>P76</f>
        <v>44170.4</v>
      </c>
      <c r="R76" s="122">
        <f t="shared" si="16"/>
        <v>0</v>
      </c>
      <c r="S76" s="139"/>
    </row>
    <row r="77" spans="1:19" s="140" customFormat="1" ht="15">
      <c r="A77" s="137"/>
      <c r="B77" s="135" t="s">
        <v>195</v>
      </c>
      <c r="C77" s="138"/>
      <c r="D77" s="131">
        <f>январь!E41</f>
        <v>0</v>
      </c>
      <c r="E77" s="131">
        <f>февраль!E41</f>
        <v>0</v>
      </c>
      <c r="F77" s="131">
        <f>март!E41</f>
        <v>0</v>
      </c>
      <c r="G77" s="87">
        <f>апрель!E42</f>
        <v>0</v>
      </c>
      <c r="H77" s="87">
        <f>май!E42</f>
        <v>0</v>
      </c>
      <c r="I77" s="87">
        <f>июнь!G43</f>
        <v>1459.36</v>
      </c>
      <c r="J77" s="87">
        <f>июль!G43</f>
        <v>1711.91</v>
      </c>
      <c r="K77" s="87">
        <f>август!G43</f>
        <v>2747.16</v>
      </c>
      <c r="L77" s="87">
        <f>сентябрь!G42</f>
        <v>2511.75</v>
      </c>
      <c r="M77" s="87">
        <f>октябрь!G44</f>
        <v>0</v>
      </c>
      <c r="N77" s="87">
        <f>ноябрь!G44</f>
        <v>0</v>
      </c>
      <c r="O77" s="87">
        <f>декабрь!G44</f>
        <v>0</v>
      </c>
      <c r="P77" s="87">
        <f>SUM(D77:O77)</f>
        <v>8430.18</v>
      </c>
      <c r="Q77" s="87">
        <f>P77</f>
        <v>8430.18</v>
      </c>
      <c r="R77" s="125">
        <f>C77+P77-Q77</f>
        <v>0</v>
      </c>
      <c r="S77" s="139"/>
    </row>
    <row r="78" spans="1:21" s="89" customFormat="1" ht="14.25">
      <c r="A78" s="107"/>
      <c r="B78" s="86" t="s">
        <v>101</v>
      </c>
      <c r="C78" s="87">
        <f>C66+C65+C64+C59+C55+C41+C77</f>
        <v>0</v>
      </c>
      <c r="D78" s="87">
        <f aca="true" t="shared" si="20" ref="D78:O78">D66+D65+D64+D63+D59+D55+D41+D69+D77</f>
        <v>0</v>
      </c>
      <c r="E78" s="87">
        <f t="shared" si="20"/>
        <v>0</v>
      </c>
      <c r="F78" s="87">
        <f t="shared" si="20"/>
        <v>0</v>
      </c>
      <c r="G78" s="87">
        <f t="shared" si="20"/>
        <v>0</v>
      </c>
      <c r="H78" s="87">
        <f t="shared" si="20"/>
        <v>56658.25</v>
      </c>
      <c r="I78" s="87">
        <f t="shared" si="20"/>
        <v>58764.22</v>
      </c>
      <c r="J78" s="87">
        <f t="shared" si="20"/>
        <v>84502.46</v>
      </c>
      <c r="K78" s="87">
        <f t="shared" si="20"/>
        <v>89502.56</v>
      </c>
      <c r="L78" s="87">
        <f t="shared" si="20"/>
        <v>70011.62000000001</v>
      </c>
      <c r="M78" s="87">
        <f t="shared" si="20"/>
        <v>70038.95</v>
      </c>
      <c r="N78" s="87">
        <f t="shared" si="20"/>
        <v>150040.9</v>
      </c>
      <c r="O78" s="87">
        <f t="shared" si="20"/>
        <v>117378.67000000001</v>
      </c>
      <c r="P78" s="87">
        <f>SUM(D78:O78)</f>
        <v>696897.63</v>
      </c>
      <c r="Q78" s="87">
        <f>Q66+Q65+Q64+Q63+Q59+Q55+Q41+Q69+Q77</f>
        <v>615660.11</v>
      </c>
      <c r="R78" s="87">
        <f>R66+R65+R64+R63+R59+R55+R41+R69+R77</f>
        <v>81237.52000000002</v>
      </c>
      <c r="S78" s="88"/>
      <c r="U78" s="88"/>
    </row>
    <row r="79" spans="2:20" s="108" customFormat="1" ht="15">
      <c r="B79" s="108" t="s">
        <v>76</v>
      </c>
      <c r="C79" s="99"/>
      <c r="D79" s="99">
        <f aca="true" t="shared" si="21" ref="D79:P79">D18-D78</f>
        <v>0</v>
      </c>
      <c r="E79" s="99">
        <f t="shared" si="21"/>
        <v>0</v>
      </c>
      <c r="F79" s="99">
        <f t="shared" si="21"/>
        <v>0</v>
      </c>
      <c r="G79" s="99">
        <f t="shared" si="21"/>
        <v>0</v>
      </c>
      <c r="H79" s="99">
        <f t="shared" si="21"/>
        <v>27283.5</v>
      </c>
      <c r="I79" s="99">
        <f t="shared" si="21"/>
        <v>40971.67999999999</v>
      </c>
      <c r="J79" s="99">
        <f t="shared" si="21"/>
        <v>-743.6199999999953</v>
      </c>
      <c r="K79" s="99">
        <f t="shared" si="21"/>
        <v>-10582.830000000016</v>
      </c>
      <c r="L79" s="99">
        <f t="shared" si="21"/>
        <v>8942.609999999971</v>
      </c>
      <c r="M79" s="99">
        <f t="shared" si="21"/>
        <v>-26873.009999999995</v>
      </c>
      <c r="N79" s="99">
        <f t="shared" si="21"/>
        <v>-73415.84</v>
      </c>
      <c r="O79" s="99">
        <f t="shared" si="21"/>
        <v>-53759.34000000002</v>
      </c>
      <c r="P79" s="99">
        <f t="shared" si="21"/>
        <v>-88176.8500000001</v>
      </c>
      <c r="Q79" s="99"/>
      <c r="R79" s="122">
        <f>C79+P79</f>
        <v>-88176.8500000001</v>
      </c>
      <c r="S79" s="109"/>
      <c r="T79" s="109"/>
    </row>
    <row r="80" spans="2:19" s="55" customFormat="1" ht="15.75">
      <c r="B80" s="183" t="s">
        <v>64</v>
      </c>
      <c r="C80" s="184"/>
      <c r="D80" s="67"/>
      <c r="E80" s="67"/>
      <c r="F80" s="67"/>
      <c r="G80" s="67"/>
      <c r="H80" s="67"/>
      <c r="I80" s="67"/>
      <c r="J80" s="68"/>
      <c r="K80" s="68"/>
      <c r="L80" s="68"/>
      <c r="M80" s="68"/>
      <c r="N80" s="68"/>
      <c r="O80" s="68"/>
      <c r="P80" s="99"/>
      <c r="Q80" s="68"/>
      <c r="R80" s="122"/>
      <c r="S80" s="59"/>
    </row>
    <row r="81" spans="1:18" ht="15">
      <c r="A81" s="97"/>
      <c r="B81" s="98" t="s">
        <v>35</v>
      </c>
      <c r="C81" s="99"/>
      <c r="D81" s="99">
        <f>январь!E45</f>
        <v>0</v>
      </c>
      <c r="E81" s="99">
        <f>февраль!E45</f>
        <v>0</v>
      </c>
      <c r="F81" s="99">
        <f>март!E45</f>
        <v>0</v>
      </c>
      <c r="G81" s="99">
        <f>апрель!E46</f>
        <v>0</v>
      </c>
      <c r="H81" s="99">
        <f>май!E46</f>
        <v>33999.49</v>
      </c>
      <c r="I81" s="99">
        <f>июнь!E47</f>
        <v>39144.15</v>
      </c>
      <c r="J81" s="100">
        <f>июль!E47</f>
        <v>38414.98</v>
      </c>
      <c r="K81" s="100">
        <f>август!E47</f>
        <v>39005.46</v>
      </c>
      <c r="L81" s="100">
        <f>сентябрь!E46</f>
        <v>38163.24</v>
      </c>
      <c r="M81" s="100">
        <v>41363.22</v>
      </c>
      <c r="N81" s="100">
        <f>ноябрь!E46</f>
        <v>46334.56</v>
      </c>
      <c r="O81" s="100">
        <f>декабрь!E46</f>
        <v>46086.15</v>
      </c>
      <c r="P81" s="99">
        <f aca="true" t="shared" si="22" ref="P81:P86">SUM(D81:O81)</f>
        <v>322511.25</v>
      </c>
      <c r="Q81" s="100">
        <f>Q23+Q31</f>
        <v>182153.59</v>
      </c>
      <c r="R81" s="122">
        <f aca="true" t="shared" si="23" ref="R81:R88">C81+P81-Q81</f>
        <v>140357.66</v>
      </c>
    </row>
    <row r="82" spans="1:22" ht="15">
      <c r="A82" s="97"/>
      <c r="B82" s="98" t="s">
        <v>68</v>
      </c>
      <c r="C82" s="99"/>
      <c r="D82" s="99">
        <f>январь!E46</f>
        <v>0</v>
      </c>
      <c r="E82" s="99">
        <f>февраль!E46</f>
        <v>0</v>
      </c>
      <c r="F82" s="99">
        <f>март!E46</f>
        <v>0</v>
      </c>
      <c r="G82" s="99">
        <f>апрель!E47</f>
        <v>0</v>
      </c>
      <c r="H82" s="99">
        <f>май!E47</f>
        <v>34757.14</v>
      </c>
      <c r="I82" s="99">
        <f>июнь!E48</f>
        <v>0</v>
      </c>
      <c r="J82" s="100">
        <f>июль!E48</f>
        <v>0</v>
      </c>
      <c r="K82" s="100">
        <f>август!E48</f>
        <v>0</v>
      </c>
      <c r="L82" s="100">
        <f>сентябрь!E47</f>
        <v>6439.82</v>
      </c>
      <c r="M82" s="100">
        <f>октябрь!E47</f>
        <v>60946.35</v>
      </c>
      <c r="N82" s="100">
        <f>ноябрь!E47</f>
        <v>78669.45</v>
      </c>
      <c r="O82" s="100">
        <f>декабрь!E47</f>
        <v>121196.12</v>
      </c>
      <c r="P82" s="99">
        <f t="shared" si="22"/>
        <v>302008.88</v>
      </c>
      <c r="Q82" s="100">
        <f>Q30+Q24</f>
        <v>156271.59</v>
      </c>
      <c r="R82" s="122">
        <f t="shared" si="23"/>
        <v>145737.29</v>
      </c>
      <c r="U82" s="110"/>
      <c r="V82" s="104"/>
    </row>
    <row r="83" spans="1:18" ht="15">
      <c r="A83" s="97"/>
      <c r="B83" s="98" t="s">
        <v>37</v>
      </c>
      <c r="C83" s="99"/>
      <c r="D83" s="99">
        <f>январь!E47</f>
        <v>0</v>
      </c>
      <c r="E83" s="99">
        <f>февраль!E47</f>
        <v>0</v>
      </c>
      <c r="F83" s="99">
        <f>март!E47</f>
        <v>0</v>
      </c>
      <c r="G83" s="99">
        <f>апрель!E48</f>
        <v>0</v>
      </c>
      <c r="H83" s="99">
        <f>май!E48</f>
        <v>14675.47</v>
      </c>
      <c r="I83" s="99">
        <f>июнь!E49</f>
        <v>12023.44</v>
      </c>
      <c r="J83" s="100">
        <f>июль!E49</f>
        <v>10271.3</v>
      </c>
      <c r="K83" s="100">
        <f>август!E49</f>
        <v>11106.36</v>
      </c>
      <c r="L83" s="100">
        <f>сентябрь!E48</f>
        <v>16140.89</v>
      </c>
      <c r="M83" s="100">
        <f>октябрь!E48</f>
        <v>12882.49</v>
      </c>
      <c r="N83" s="100">
        <f>ноябрь!E48</f>
        <v>15247.51</v>
      </c>
      <c r="O83" s="100">
        <f>декабрь!E48</f>
        <v>14424.47</v>
      </c>
      <c r="P83" s="99">
        <f t="shared" si="22"/>
        <v>106771.93</v>
      </c>
      <c r="Q83" s="100">
        <f>Q29+Q25</f>
        <v>92086.61</v>
      </c>
      <c r="R83" s="122">
        <f t="shared" si="23"/>
        <v>14685.319999999992</v>
      </c>
    </row>
    <row r="84" spans="1:18" ht="15">
      <c r="A84" s="97" t="s">
        <v>58</v>
      </c>
      <c r="B84" s="98" t="s">
        <v>71</v>
      </c>
      <c r="C84" s="99"/>
      <c r="D84" s="99">
        <f>январь!E48</f>
        <v>0</v>
      </c>
      <c r="E84" s="99">
        <f>февраль!E48</f>
        <v>0</v>
      </c>
      <c r="F84" s="99">
        <f>март!E48</f>
        <v>0</v>
      </c>
      <c r="G84" s="99">
        <f>апрель!E49</f>
        <v>0</v>
      </c>
      <c r="H84" s="99">
        <f>май!E49</f>
        <v>8183.65</v>
      </c>
      <c r="I84" s="99">
        <f>июнь!E50</f>
        <v>7441.09</v>
      </c>
      <c r="J84" s="100">
        <f>июль!E50</f>
        <v>7002.44</v>
      </c>
      <c r="K84" s="100">
        <f>август!E50</f>
        <v>8840.41</v>
      </c>
      <c r="L84" s="100">
        <f>сентябрь!E49</f>
        <v>7688.38</v>
      </c>
      <c r="M84" s="100">
        <f>октябрь!E49</f>
        <v>9752.7</v>
      </c>
      <c r="N84" s="100">
        <f>ноябрь!E49</f>
        <v>10394.58</v>
      </c>
      <c r="O84" s="100">
        <f>декабрь!E49</f>
        <v>9733.19</v>
      </c>
      <c r="P84" s="99">
        <f t="shared" si="22"/>
        <v>69036.44</v>
      </c>
      <c r="Q84" s="100">
        <f>Q27+Q21</f>
        <v>51159.770000000004</v>
      </c>
      <c r="R84" s="122">
        <f t="shared" si="23"/>
        <v>17876.67</v>
      </c>
    </row>
    <row r="85" spans="1:18" ht="15">
      <c r="A85" s="97"/>
      <c r="B85" s="98" t="s">
        <v>39</v>
      </c>
      <c r="C85" s="99"/>
      <c r="D85" s="99">
        <f>январь!E49</f>
        <v>0</v>
      </c>
      <c r="E85" s="99">
        <f>февраль!E49</f>
        <v>0</v>
      </c>
      <c r="F85" s="99">
        <f>март!E49</f>
        <v>0</v>
      </c>
      <c r="G85" s="99">
        <f>апрель!E50</f>
        <v>0</v>
      </c>
      <c r="H85" s="99">
        <f>май!E50</f>
        <v>8784.12</v>
      </c>
      <c r="I85" s="99">
        <f>июнь!E51</f>
        <v>10136.21</v>
      </c>
      <c r="J85" s="100">
        <f>июль!E51</f>
        <v>6711.6</v>
      </c>
      <c r="K85" s="100">
        <f>август!E51</f>
        <v>9390.38</v>
      </c>
      <c r="L85" s="100">
        <f>сентябрь!E50</f>
        <v>9847.42</v>
      </c>
      <c r="M85" s="100">
        <f>октябрь!E50</f>
        <v>11623.59</v>
      </c>
      <c r="N85" s="100">
        <f>ноябрь!E50</f>
        <v>10776.92</v>
      </c>
      <c r="O85" s="100">
        <f>декабрь!E50</f>
        <v>9865.81</v>
      </c>
      <c r="P85" s="99">
        <f t="shared" si="22"/>
        <v>77136.04999999999</v>
      </c>
      <c r="Q85" s="100">
        <f>Q28+Q22</f>
        <v>52760.98</v>
      </c>
      <c r="R85" s="122">
        <f t="shared" si="23"/>
        <v>24375.069999999985</v>
      </c>
    </row>
    <row r="86" spans="1:19" s="89" customFormat="1" ht="14.25">
      <c r="A86" s="107"/>
      <c r="B86" s="86" t="s">
        <v>102</v>
      </c>
      <c r="C86" s="87">
        <f aca="true" t="shared" si="24" ref="C86:Q86">SUM(C81:C85)</f>
        <v>0</v>
      </c>
      <c r="D86" s="87">
        <f>SUM(D81:D85)</f>
        <v>0</v>
      </c>
      <c r="E86" s="87">
        <f t="shared" si="24"/>
        <v>0</v>
      </c>
      <c r="F86" s="87">
        <f t="shared" si="24"/>
        <v>0</v>
      </c>
      <c r="G86" s="87">
        <f t="shared" si="24"/>
        <v>0</v>
      </c>
      <c r="H86" s="87">
        <f t="shared" si="24"/>
        <v>100399.87</v>
      </c>
      <c r="I86" s="87">
        <f t="shared" si="24"/>
        <v>68744.89000000001</v>
      </c>
      <c r="J86" s="87">
        <f t="shared" si="24"/>
        <v>62400.32</v>
      </c>
      <c r="K86" s="87">
        <f t="shared" si="24"/>
        <v>68342.61</v>
      </c>
      <c r="L86" s="87">
        <f t="shared" si="24"/>
        <v>78279.75</v>
      </c>
      <c r="M86" s="87">
        <f t="shared" si="24"/>
        <v>136568.35</v>
      </c>
      <c r="N86" s="87">
        <f t="shared" si="24"/>
        <v>161423.02</v>
      </c>
      <c r="O86" s="87">
        <f t="shared" si="24"/>
        <v>201305.74</v>
      </c>
      <c r="P86" s="87">
        <f t="shared" si="22"/>
        <v>877464.55</v>
      </c>
      <c r="Q86" s="87">
        <f t="shared" si="24"/>
        <v>534432.54</v>
      </c>
      <c r="R86" s="125">
        <f t="shared" si="23"/>
        <v>343032.01</v>
      </c>
      <c r="S86" s="88"/>
    </row>
    <row r="87" spans="2:20" s="108" customFormat="1" ht="15">
      <c r="B87" s="108" t="s">
        <v>76</v>
      </c>
      <c r="C87" s="109">
        <f aca="true" t="shared" si="25" ref="C87:Q87">C32-C86</f>
        <v>0</v>
      </c>
      <c r="D87" s="109">
        <f t="shared" si="25"/>
        <v>0</v>
      </c>
      <c r="E87" s="109">
        <f t="shared" si="25"/>
        <v>0</v>
      </c>
      <c r="F87" s="109">
        <f t="shared" si="25"/>
        <v>0</v>
      </c>
      <c r="G87" s="109">
        <f t="shared" si="25"/>
        <v>0</v>
      </c>
      <c r="H87" s="109">
        <f t="shared" si="25"/>
        <v>8900.039999999994</v>
      </c>
      <c r="I87" s="109">
        <f t="shared" si="25"/>
        <v>867.4999999999854</v>
      </c>
      <c r="J87" s="109">
        <f t="shared" si="25"/>
        <v>46110.91999999999</v>
      </c>
      <c r="K87" s="109">
        <f t="shared" si="25"/>
        <v>-11032.559999999998</v>
      </c>
      <c r="L87" s="109">
        <f t="shared" si="25"/>
        <v>-8133.0199999999895</v>
      </c>
      <c r="M87" s="109">
        <f t="shared" si="25"/>
        <v>-37142.16</v>
      </c>
      <c r="N87" s="109">
        <f t="shared" si="25"/>
        <v>-10516.059999999998</v>
      </c>
      <c r="O87" s="109">
        <f t="shared" si="25"/>
        <v>11576.160000000033</v>
      </c>
      <c r="P87" s="109">
        <f t="shared" si="25"/>
        <v>630.8199999999488</v>
      </c>
      <c r="Q87" s="109">
        <f t="shared" si="25"/>
        <v>0</v>
      </c>
      <c r="R87" s="122">
        <f>C87+P87</f>
        <v>630.8199999999488</v>
      </c>
      <c r="S87" s="109"/>
      <c r="T87" s="109"/>
    </row>
    <row r="88" spans="1:22" s="89" customFormat="1" ht="14.25">
      <c r="A88" s="107"/>
      <c r="B88" s="86" t="s">
        <v>77</v>
      </c>
      <c r="C88" s="87">
        <f>C78+C86</f>
        <v>0</v>
      </c>
      <c r="D88" s="87">
        <f>D78+D86</f>
        <v>0</v>
      </c>
      <c r="E88" s="87">
        <f aca="true" t="shared" si="26" ref="E88:Q88">E78+E86</f>
        <v>0</v>
      </c>
      <c r="F88" s="87">
        <f t="shared" si="26"/>
        <v>0</v>
      </c>
      <c r="G88" s="87">
        <f t="shared" si="26"/>
        <v>0</v>
      </c>
      <c r="H88" s="87">
        <f t="shared" si="26"/>
        <v>157058.12</v>
      </c>
      <c r="I88" s="87">
        <f t="shared" si="26"/>
        <v>127509.11000000002</v>
      </c>
      <c r="J88" s="87">
        <f t="shared" si="26"/>
        <v>146902.78</v>
      </c>
      <c r="K88" s="87">
        <f t="shared" si="26"/>
        <v>157845.16999999998</v>
      </c>
      <c r="L88" s="87">
        <f t="shared" si="26"/>
        <v>148291.37</v>
      </c>
      <c r="M88" s="87">
        <f t="shared" si="26"/>
        <v>206607.3</v>
      </c>
      <c r="N88" s="87">
        <f t="shared" si="26"/>
        <v>311463.92</v>
      </c>
      <c r="O88" s="87">
        <f t="shared" si="26"/>
        <v>318684.41000000003</v>
      </c>
      <c r="P88" s="87">
        <f t="shared" si="26"/>
        <v>1574362.1800000002</v>
      </c>
      <c r="Q88" s="87">
        <f t="shared" si="26"/>
        <v>1150092.65</v>
      </c>
      <c r="R88" s="125">
        <f t="shared" si="23"/>
        <v>424269.53000000026</v>
      </c>
      <c r="S88" s="88"/>
      <c r="V88" s="88"/>
    </row>
    <row r="89" spans="2:20" s="108" customFormat="1" ht="30">
      <c r="B89" s="111" t="s">
        <v>78</v>
      </c>
      <c r="C89" s="112"/>
      <c r="D89" s="112">
        <f aca="true" t="shared" si="27" ref="D89:O89">D79+D87</f>
        <v>0</v>
      </c>
      <c r="E89" s="112">
        <f t="shared" si="27"/>
        <v>0</v>
      </c>
      <c r="F89" s="112">
        <f t="shared" si="27"/>
        <v>0</v>
      </c>
      <c r="G89" s="112">
        <f t="shared" si="27"/>
        <v>0</v>
      </c>
      <c r="H89" s="112">
        <f t="shared" si="27"/>
        <v>36183.53999999999</v>
      </c>
      <c r="I89" s="112">
        <f t="shared" si="27"/>
        <v>41839.17999999998</v>
      </c>
      <c r="J89" s="112">
        <f t="shared" si="27"/>
        <v>45367.299999999996</v>
      </c>
      <c r="K89" s="112">
        <f t="shared" si="27"/>
        <v>-21615.390000000014</v>
      </c>
      <c r="L89" s="112">
        <f t="shared" si="27"/>
        <v>809.589999999982</v>
      </c>
      <c r="M89" s="112">
        <f t="shared" si="27"/>
        <v>-64015.17</v>
      </c>
      <c r="N89" s="112">
        <f t="shared" si="27"/>
        <v>-83931.9</v>
      </c>
      <c r="O89" s="112">
        <f t="shared" si="27"/>
        <v>-42183.179999999986</v>
      </c>
      <c r="P89" s="99">
        <f>P87+P79</f>
        <v>-87546.03000000014</v>
      </c>
      <c r="Q89" s="112"/>
      <c r="R89" s="122">
        <f>P89</f>
        <v>-87546.03000000014</v>
      </c>
      <c r="S89" s="109"/>
      <c r="T89" s="109"/>
    </row>
    <row r="90" spans="2:20" s="108" customFormat="1" ht="15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09"/>
      <c r="T90" s="109"/>
    </row>
    <row r="91" spans="2:3" ht="12.75">
      <c r="B91" s="102" t="s">
        <v>83</v>
      </c>
      <c r="C91" s="102" t="s">
        <v>196</v>
      </c>
    </row>
    <row r="92" spans="17:18" ht="12.75">
      <c r="Q92" s="101"/>
      <c r="R92" s="101"/>
    </row>
    <row r="93" spans="2:3" ht="12.75">
      <c r="B93" s="102" t="s">
        <v>85</v>
      </c>
      <c r="C93" s="102" t="s">
        <v>86</v>
      </c>
    </row>
  </sheetData>
  <sheetProtection/>
  <mergeCells count="5">
    <mergeCell ref="B80:C80"/>
    <mergeCell ref="B1:R1"/>
    <mergeCell ref="B20:C20"/>
    <mergeCell ref="B38:R38"/>
    <mergeCell ref="B39:C3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54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4">
      <selection activeCell="E17" sqref="E17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6.8515625" style="10" customWidth="1"/>
    <col min="9" max="16384" width="9.140625" style="10" customWidth="1"/>
  </cols>
  <sheetData>
    <row r="1" spans="1:5" s="2" customFormat="1" ht="15">
      <c r="A1" s="182" t="s">
        <v>0</v>
      </c>
      <c r="B1" s="182"/>
      <c r="C1" s="1" t="s">
        <v>158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180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181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4141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>
        <v>11425.05</v>
      </c>
      <c r="F13" s="19">
        <v>255</v>
      </c>
      <c r="G13" s="19">
        <f aca="true" t="shared" si="0" ref="G13:G29">E13+F13</f>
        <v>11680.05</v>
      </c>
      <c r="H13" s="15"/>
    </row>
    <row r="14" spans="1:8" s="4" customFormat="1" ht="15">
      <c r="A14" s="38"/>
      <c r="B14" s="168" t="s">
        <v>129</v>
      </c>
      <c r="C14" s="126"/>
      <c r="D14" s="28"/>
      <c r="E14" s="29">
        <v>0</v>
      </c>
      <c r="F14" s="29"/>
      <c r="G14" s="29">
        <f>E14</f>
        <v>0</v>
      </c>
      <c r="H14" s="28"/>
    </row>
    <row r="15" spans="1:8" s="4" customFormat="1" ht="15">
      <c r="A15" s="38"/>
      <c r="B15" s="168"/>
      <c r="C15" s="126"/>
      <c r="D15" s="28"/>
      <c r="E15" s="29"/>
      <c r="F15" s="29"/>
      <c r="G15" s="29"/>
      <c r="H15" s="28"/>
    </row>
    <row r="16" spans="1:8" s="2" customFormat="1" ht="30" customHeight="1">
      <c r="A16" s="13" t="s">
        <v>18</v>
      </c>
      <c r="B16" s="119" t="s">
        <v>113</v>
      </c>
      <c r="C16" s="11" t="s">
        <v>12</v>
      </c>
      <c r="D16" s="15">
        <v>1</v>
      </c>
      <c r="E16" s="19">
        <v>3554.46</v>
      </c>
      <c r="F16" s="19">
        <v>123</v>
      </c>
      <c r="G16" s="19">
        <f t="shared" si="0"/>
        <v>3677.46</v>
      </c>
      <c r="H16" s="15"/>
    </row>
    <row r="17" spans="1:8" s="2" customFormat="1" ht="15" customHeight="1">
      <c r="A17" s="13" t="s">
        <v>19</v>
      </c>
      <c r="B17" s="123" t="s">
        <v>16</v>
      </c>
      <c r="C17" s="11" t="s">
        <v>12</v>
      </c>
      <c r="D17" s="15">
        <v>1</v>
      </c>
      <c r="E17" s="19">
        <v>780.98</v>
      </c>
      <c r="F17" s="19"/>
      <c r="G17" s="19">
        <f t="shared" si="0"/>
        <v>780.98</v>
      </c>
      <c r="H17" s="15"/>
    </row>
    <row r="18" spans="1:8" s="2" customFormat="1" ht="15" customHeight="1">
      <c r="A18" s="13" t="s">
        <v>20</v>
      </c>
      <c r="B18" s="56" t="s">
        <v>65</v>
      </c>
      <c r="C18" s="11" t="s">
        <v>12</v>
      </c>
      <c r="D18" s="15">
        <v>1</v>
      </c>
      <c r="E18" s="19">
        <v>472.92</v>
      </c>
      <c r="F18" s="19"/>
      <c r="G18" s="19">
        <f t="shared" si="0"/>
        <v>472.92</v>
      </c>
      <c r="H18" s="15"/>
    </row>
    <row r="19" spans="1:8" s="2" customFormat="1" ht="15" customHeight="1">
      <c r="A19" s="13" t="s">
        <v>21</v>
      </c>
      <c r="B19" s="56" t="s">
        <v>66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22</v>
      </c>
      <c r="B20" s="56" t="s">
        <v>69</v>
      </c>
      <c r="C20" s="11" t="s">
        <v>12</v>
      </c>
      <c r="D20" s="15">
        <v>1</v>
      </c>
      <c r="E20" s="19">
        <v>9774.51</v>
      </c>
      <c r="F20" s="19"/>
      <c r="G20" s="19">
        <f t="shared" si="0"/>
        <v>9774.51</v>
      </c>
      <c r="H20" s="15"/>
    </row>
    <row r="21" spans="1:8" s="2" customFormat="1" ht="15" customHeight="1">
      <c r="A21" s="13" t="s">
        <v>23</v>
      </c>
      <c r="B21" s="56" t="s">
        <v>67</v>
      </c>
      <c r="C21" s="11" t="s">
        <v>12</v>
      </c>
      <c r="D21" s="15">
        <v>1</v>
      </c>
      <c r="E21" s="19"/>
      <c r="F21" s="19"/>
      <c r="G21" s="19">
        <f t="shared" si="0"/>
        <v>0</v>
      </c>
      <c r="H21" s="15"/>
    </row>
    <row r="22" spans="1:8" s="2" customFormat="1" ht="15">
      <c r="A22" s="13" t="s">
        <v>24</v>
      </c>
      <c r="B22" s="123" t="s">
        <v>32</v>
      </c>
      <c r="C22" s="11" t="s">
        <v>12</v>
      </c>
      <c r="D22" s="15">
        <v>1</v>
      </c>
      <c r="E22" s="20"/>
      <c r="F22" s="19"/>
      <c r="G22" s="19">
        <f t="shared" si="0"/>
        <v>0</v>
      </c>
      <c r="H22" s="15"/>
    </row>
    <row r="23" spans="1:8" s="2" customFormat="1" ht="15">
      <c r="A23" s="13" t="s">
        <v>94</v>
      </c>
      <c r="B23" s="123" t="s">
        <v>114</v>
      </c>
      <c r="C23" s="11" t="s">
        <v>12</v>
      </c>
      <c r="D23" s="15">
        <v>1</v>
      </c>
      <c r="E23" s="16">
        <v>2981.52</v>
      </c>
      <c r="F23" s="19">
        <v>89.1</v>
      </c>
      <c r="G23" s="19">
        <f t="shared" si="0"/>
        <v>3070.62</v>
      </c>
      <c r="H23" s="15"/>
    </row>
    <row r="24" spans="1:10" s="2" customFormat="1" ht="30">
      <c r="A24" s="13" t="s">
        <v>95</v>
      </c>
      <c r="B24" s="119" t="s">
        <v>115</v>
      </c>
      <c r="C24" s="11" t="s">
        <v>12</v>
      </c>
      <c r="D24" s="15">
        <v>1</v>
      </c>
      <c r="E24" s="16">
        <v>6025.16</v>
      </c>
      <c r="F24" s="19">
        <f>8177+60</f>
        <v>8237</v>
      </c>
      <c r="G24" s="19">
        <f t="shared" si="0"/>
        <v>14262.16</v>
      </c>
      <c r="H24" s="15"/>
      <c r="J24" s="2">
        <f>E24</f>
        <v>6025.16</v>
      </c>
    </row>
    <row r="25" spans="1:8" s="2" customFormat="1" ht="15">
      <c r="A25" s="13" t="s">
        <v>133</v>
      </c>
      <c r="B25" s="123" t="s">
        <v>116</v>
      </c>
      <c r="C25" s="11" t="s">
        <v>12</v>
      </c>
      <c r="D25" s="15">
        <v>1</v>
      </c>
      <c r="E25" s="16">
        <v>7702.26</v>
      </c>
      <c r="F25" s="19"/>
      <c r="G25" s="19">
        <f t="shared" si="0"/>
        <v>7702.26</v>
      </c>
      <c r="H25" s="15"/>
    </row>
    <row r="26" spans="1:8" s="2" customFormat="1" ht="27.75" customHeight="1">
      <c r="A26" s="13" t="s">
        <v>134</v>
      </c>
      <c r="B26" s="144" t="s">
        <v>117</v>
      </c>
      <c r="C26" s="11" t="s">
        <v>12</v>
      </c>
      <c r="D26" s="15">
        <v>1</v>
      </c>
      <c r="E26" s="16">
        <v>9416.63</v>
      </c>
      <c r="F26" s="19"/>
      <c r="G26" s="19">
        <f t="shared" si="0"/>
        <v>9416.63</v>
      </c>
      <c r="H26" s="15"/>
    </row>
    <row r="27" spans="1:8" s="2" customFormat="1" ht="15">
      <c r="A27" s="13" t="s">
        <v>135</v>
      </c>
      <c r="B27" s="145" t="s">
        <v>99</v>
      </c>
      <c r="C27" s="11" t="s">
        <v>12</v>
      </c>
      <c r="D27" s="15">
        <v>1</v>
      </c>
      <c r="E27" s="19">
        <v>1656.4</v>
      </c>
      <c r="F27" s="19"/>
      <c r="G27" s="19">
        <f t="shared" si="0"/>
        <v>1656.4</v>
      </c>
      <c r="H27" s="15"/>
    </row>
    <row r="28" spans="1:8" s="2" customFormat="1" ht="15">
      <c r="A28" s="13" t="s">
        <v>136</v>
      </c>
      <c r="B28" s="145" t="s">
        <v>100</v>
      </c>
      <c r="C28" s="11" t="s">
        <v>12</v>
      </c>
      <c r="D28" s="15">
        <v>1</v>
      </c>
      <c r="E28" s="19">
        <v>869.61</v>
      </c>
      <c r="F28" s="19"/>
      <c r="G28" s="19">
        <f t="shared" si="0"/>
        <v>869.61</v>
      </c>
      <c r="H28" s="15"/>
    </row>
    <row r="29" spans="1:8" s="2" customFormat="1" ht="15">
      <c r="A29" s="158"/>
      <c r="B29" s="172" t="s">
        <v>176</v>
      </c>
      <c r="C29" s="11" t="s">
        <v>12</v>
      </c>
      <c r="D29" s="15">
        <v>1</v>
      </c>
      <c r="E29" s="19">
        <v>2236</v>
      </c>
      <c r="F29" s="19"/>
      <c r="G29" s="19">
        <f t="shared" si="0"/>
        <v>2236</v>
      </c>
      <c r="H29" s="15"/>
    </row>
    <row r="30" spans="1:10" s="2" customFormat="1" ht="17.25" customHeight="1">
      <c r="A30" s="200" t="s">
        <v>118</v>
      </c>
      <c r="B30" s="201"/>
      <c r="C30" s="146"/>
      <c r="D30" s="30"/>
      <c r="E30" s="31">
        <f>E13+E15+E16+E17+E18+E19+E20+E21+E22+E23+E24+E25+E26+E27+E29+E28</f>
        <v>56895.5</v>
      </c>
      <c r="F30" s="31">
        <f>F13+F15+F16+F17+F18+F19+F20+F21+F22+F23+F24+F25+F26+F27</f>
        <v>8704.1</v>
      </c>
      <c r="G30" s="31">
        <f>G13+G15+G16+G17+G18+G19+G20+G21+G22+G23+G24+G25+G26+G27+G29+G28</f>
        <v>65599.59999999999</v>
      </c>
      <c r="H30" s="30"/>
      <c r="J30" s="9">
        <f>E13+E15+E16+E21+E22+E23+E24+E25+E26+E27</f>
        <v>42761.479999999996</v>
      </c>
    </row>
    <row r="31" spans="1:8" s="2" customFormat="1" ht="33.75" customHeight="1">
      <c r="A31" s="143" t="s">
        <v>119</v>
      </c>
      <c r="B31" s="198" t="s">
        <v>120</v>
      </c>
      <c r="C31" s="199"/>
      <c r="D31" s="199"/>
      <c r="E31" s="199"/>
      <c r="F31" s="199"/>
      <c r="G31" s="199"/>
      <c r="H31" s="117"/>
    </row>
    <row r="32" spans="1:8" s="2" customFormat="1" ht="36.75" customHeight="1">
      <c r="A32" s="13" t="s">
        <v>3</v>
      </c>
      <c r="B32" s="11" t="s">
        <v>28</v>
      </c>
      <c r="C32" s="11" t="s">
        <v>5</v>
      </c>
      <c r="D32" s="11" t="s">
        <v>6</v>
      </c>
      <c r="E32" s="12" t="s">
        <v>13</v>
      </c>
      <c r="F32" s="12" t="s">
        <v>27</v>
      </c>
      <c r="G32" s="11" t="s">
        <v>14</v>
      </c>
      <c r="H32" s="11" t="s">
        <v>7</v>
      </c>
    </row>
    <row r="33" spans="1:8" s="2" customFormat="1" ht="30" customHeight="1">
      <c r="A33" s="13" t="s">
        <v>25</v>
      </c>
      <c r="B33" s="119" t="s">
        <v>125</v>
      </c>
      <c r="C33" s="11" t="s">
        <v>12</v>
      </c>
      <c r="D33" s="15">
        <v>1</v>
      </c>
      <c r="E33" s="19"/>
      <c r="F33" s="19">
        <f>F34+F35</f>
        <v>0</v>
      </c>
      <c r="G33" s="19">
        <f>G34+G35</f>
        <v>0</v>
      </c>
      <c r="H33" s="15"/>
    </row>
    <row r="34" spans="1:8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</row>
    <row r="35" spans="1:10" s="2" customFormat="1" ht="15">
      <c r="A35" s="13"/>
      <c r="B35" s="119"/>
      <c r="C35" s="11"/>
      <c r="D35" s="15"/>
      <c r="E35" s="19"/>
      <c r="F35" s="19"/>
      <c r="G35" s="19">
        <f>E35+F35</f>
        <v>0</v>
      </c>
      <c r="H35" s="15"/>
      <c r="J35" s="164">
        <f>F30+F39</f>
        <v>8704.1</v>
      </c>
    </row>
    <row r="36" spans="1:8" s="2" customFormat="1" ht="26.25" customHeight="1">
      <c r="A36" s="13" t="s">
        <v>26</v>
      </c>
      <c r="B36" s="119" t="s">
        <v>126</v>
      </c>
      <c r="C36" s="11" t="s">
        <v>12</v>
      </c>
      <c r="D36" s="15">
        <v>1</v>
      </c>
      <c r="E36" s="19">
        <f>E37+E38</f>
        <v>13720</v>
      </c>
      <c r="F36" s="19">
        <v>0</v>
      </c>
      <c r="G36" s="19">
        <f>G37+G38</f>
        <v>13720</v>
      </c>
      <c r="H36" s="15"/>
    </row>
    <row r="37" spans="1:8" s="2" customFormat="1" ht="15">
      <c r="A37" s="158"/>
      <c r="B37" s="159" t="s">
        <v>179</v>
      </c>
      <c r="C37" s="160"/>
      <c r="D37" s="15"/>
      <c r="E37" s="19">
        <v>13720</v>
      </c>
      <c r="F37" s="19"/>
      <c r="G37" s="19">
        <f>E37+F37</f>
        <v>13720</v>
      </c>
      <c r="H37" s="15"/>
    </row>
    <row r="38" spans="1:8" s="2" customFormat="1" ht="15">
      <c r="A38" s="158"/>
      <c r="B38" s="159"/>
      <c r="C38" s="160"/>
      <c r="D38" s="15"/>
      <c r="E38" s="19"/>
      <c r="F38" s="19"/>
      <c r="G38" s="19">
        <f>E38+F38</f>
        <v>0</v>
      </c>
      <c r="H38" s="15"/>
    </row>
    <row r="39" spans="1:8" s="2" customFormat="1" ht="24.75" customHeight="1">
      <c r="A39" s="200" t="s">
        <v>122</v>
      </c>
      <c r="B39" s="201"/>
      <c r="C39" s="202"/>
      <c r="D39" s="30"/>
      <c r="E39" s="31">
        <f>E33+E36</f>
        <v>13720</v>
      </c>
      <c r="F39" s="31">
        <f>SUM(F33:F36)</f>
        <v>0</v>
      </c>
      <c r="G39" s="31">
        <f>G33+G36</f>
        <v>13720</v>
      </c>
      <c r="H39" s="30"/>
    </row>
    <row r="40" s="2" customFormat="1" ht="9.75" customHeight="1">
      <c r="A40" s="36"/>
    </row>
    <row r="41" spans="1:8" s="2" customFormat="1" ht="36.75">
      <c r="A41" s="13" t="s">
        <v>3</v>
      </c>
      <c r="B41" s="11" t="s">
        <v>4</v>
      </c>
      <c r="C41" s="11" t="s">
        <v>5</v>
      </c>
      <c r="D41" s="11" t="s">
        <v>6</v>
      </c>
      <c r="E41" s="12" t="s">
        <v>29</v>
      </c>
      <c r="F41" s="12" t="s">
        <v>27</v>
      </c>
      <c r="G41" s="11" t="s">
        <v>14</v>
      </c>
      <c r="H41" s="11" t="s">
        <v>7</v>
      </c>
    </row>
    <row r="42" spans="1:8" s="2" customFormat="1" ht="15">
      <c r="A42" s="147" t="s">
        <v>131</v>
      </c>
      <c r="B42" s="127" t="s">
        <v>15</v>
      </c>
      <c r="C42" s="23" t="s">
        <v>12</v>
      </c>
      <c r="D42" s="22">
        <v>1</v>
      </c>
      <c r="E42" s="24">
        <v>7435.8</v>
      </c>
      <c r="F42" s="24"/>
      <c r="G42" s="24">
        <f>E42+F42</f>
        <v>7435.8</v>
      </c>
      <c r="H42" s="30"/>
    </row>
    <row r="43" spans="1:7" s="35" customFormat="1" ht="28.5">
      <c r="A43" s="39" t="s">
        <v>132</v>
      </c>
      <c r="B43" s="135" t="s">
        <v>34</v>
      </c>
      <c r="C43" s="34" t="s">
        <v>12</v>
      </c>
      <c r="D43" s="148">
        <v>1</v>
      </c>
      <c r="E43" s="149">
        <v>2747.16</v>
      </c>
      <c r="F43" s="150"/>
      <c r="G43" s="24">
        <f>E43+F43</f>
        <v>2747.16</v>
      </c>
    </row>
    <row r="44" spans="1:8" s="2" customFormat="1" ht="15">
      <c r="A44" s="151"/>
      <c r="B44" s="152" t="s">
        <v>123</v>
      </c>
      <c r="C44" s="153"/>
      <c r="D44" s="154"/>
      <c r="E44" s="155">
        <f>E30+E39+E42+E43</f>
        <v>80798.46</v>
      </c>
      <c r="F44" s="155">
        <f>F30+F39+F42+F43</f>
        <v>8704.1</v>
      </c>
      <c r="G44" s="155">
        <f>G30+G39+G42+G43</f>
        <v>89502.56</v>
      </c>
      <c r="H44" s="30"/>
    </row>
    <row r="45" spans="1:7" s="33" customFormat="1" ht="15" customHeight="1">
      <c r="A45" s="190" t="s">
        <v>103</v>
      </c>
      <c r="B45" s="191"/>
      <c r="C45" s="191"/>
      <c r="D45" s="191"/>
      <c r="E45" s="191"/>
      <c r="F45" s="191"/>
      <c r="G45" s="192"/>
    </row>
    <row r="46" spans="1:7" s="2" customFormat="1" ht="33.75" customHeight="1">
      <c r="A46" s="13" t="s">
        <v>3</v>
      </c>
      <c r="B46" s="11" t="s">
        <v>4</v>
      </c>
      <c r="C46" s="11" t="s">
        <v>5</v>
      </c>
      <c r="D46" s="11" t="s">
        <v>6</v>
      </c>
      <c r="E46" s="12" t="s">
        <v>29</v>
      </c>
      <c r="F46" s="193" t="s">
        <v>30</v>
      </c>
      <c r="G46" s="194"/>
    </row>
    <row r="47" spans="1:7" s="2" customFormat="1" ht="25.5" customHeight="1">
      <c r="A47" s="13"/>
      <c r="B47" s="27" t="s">
        <v>35</v>
      </c>
      <c r="C47" s="23" t="s">
        <v>12</v>
      </c>
      <c r="D47" s="22">
        <v>1</v>
      </c>
      <c r="E47" s="24">
        <v>39005.46</v>
      </c>
      <c r="F47" s="24"/>
      <c r="G47" s="24"/>
    </row>
    <row r="48" spans="1:7" s="2" customFormat="1" ht="15">
      <c r="A48" s="13"/>
      <c r="B48" s="27" t="s">
        <v>36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37</v>
      </c>
      <c r="C49" s="23" t="s">
        <v>12</v>
      </c>
      <c r="D49" s="22">
        <v>1</v>
      </c>
      <c r="E49" s="24">
        <v>11106.36</v>
      </c>
      <c r="F49" s="24"/>
      <c r="G49" s="24"/>
    </row>
    <row r="50" spans="1:7" s="2" customFormat="1" ht="15">
      <c r="A50" s="13"/>
      <c r="B50" s="27" t="s">
        <v>38</v>
      </c>
      <c r="C50" s="23" t="s">
        <v>12</v>
      </c>
      <c r="D50" s="22">
        <v>1</v>
      </c>
      <c r="E50" s="24">
        <v>8840.41</v>
      </c>
      <c r="F50" s="24"/>
      <c r="G50" s="24"/>
    </row>
    <row r="51" spans="1:7" s="2" customFormat="1" ht="15">
      <c r="A51" s="13"/>
      <c r="B51" s="27" t="s">
        <v>39</v>
      </c>
      <c r="C51" s="23" t="s">
        <v>12</v>
      </c>
      <c r="D51" s="15">
        <v>1</v>
      </c>
      <c r="E51" s="24">
        <v>9390.38</v>
      </c>
      <c r="F51" s="21"/>
      <c r="G51" s="19"/>
    </row>
    <row r="52" spans="1:7" s="2" customFormat="1" ht="15">
      <c r="A52" s="13"/>
      <c r="B52" s="14"/>
      <c r="C52" s="23"/>
      <c r="D52" s="22"/>
      <c r="E52" s="24"/>
      <c r="F52" s="24"/>
      <c r="G52" s="24"/>
    </row>
    <row r="53" spans="1:7" s="2" customFormat="1" ht="15">
      <c r="A53" s="195" t="s">
        <v>40</v>
      </c>
      <c r="B53" s="196"/>
      <c r="C53" s="197"/>
      <c r="D53" s="15"/>
      <c r="E53" s="24">
        <f>SUM(E47:E52)</f>
        <v>68342.61</v>
      </c>
      <c r="F53" s="17"/>
      <c r="G53" s="1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pans="1:7" s="2" customFormat="1" ht="15">
      <c r="A57" s="37"/>
      <c r="B57" s="8"/>
      <c r="C57" s="8"/>
      <c r="D57" s="25"/>
      <c r="E57" s="32"/>
      <c r="F57" s="26"/>
      <c r="G57" s="25"/>
    </row>
    <row r="58" s="2" customFormat="1" ht="15">
      <c r="A58" s="36"/>
    </row>
    <row r="59" spans="1:7" s="2" customFormat="1" ht="15">
      <c r="A59" s="204" t="s">
        <v>9</v>
      </c>
      <c r="B59" s="204"/>
      <c r="C59" s="204"/>
      <c r="D59" s="204"/>
      <c r="E59" s="205">
        <f>G44+E53</f>
        <v>157845.16999999998</v>
      </c>
      <c r="F59" s="205"/>
      <c r="G59" s="205"/>
    </row>
    <row r="60" spans="1:10" s="2" customFormat="1" ht="15">
      <c r="A60" s="36"/>
      <c r="G60" s="9"/>
      <c r="J60" s="2" t="s">
        <v>58</v>
      </c>
    </row>
    <row r="61" s="2" customFormat="1" ht="15">
      <c r="A61" s="36"/>
    </row>
    <row r="62" s="2" customFormat="1" ht="15">
      <c r="A62" s="36"/>
    </row>
    <row r="63" s="2" customFormat="1" ht="15">
      <c r="A63" s="36"/>
    </row>
    <row r="64" spans="1:5" s="2" customFormat="1" ht="15">
      <c r="A64" s="206" t="s">
        <v>31</v>
      </c>
      <c r="B64" s="206"/>
      <c r="E64" s="2" t="s">
        <v>10</v>
      </c>
    </row>
    <row r="65" spans="1:5" s="2" customFormat="1" ht="15">
      <c r="A65" s="206" t="s">
        <v>1</v>
      </c>
      <c r="B65" s="206"/>
      <c r="E65" s="2" t="s">
        <v>160</v>
      </c>
    </row>
    <row r="66" spans="1:5" s="2" customFormat="1" ht="30" customHeight="1">
      <c r="A66" s="181" t="s">
        <v>177</v>
      </c>
      <c r="B66" s="181"/>
      <c r="C66" s="18"/>
      <c r="E66" s="2" t="s">
        <v>161</v>
      </c>
    </row>
    <row r="67" s="2" customFormat="1" ht="15">
      <c r="A67" s="36"/>
    </row>
    <row r="68" s="2" customFormat="1" ht="15">
      <c r="A68" s="36"/>
    </row>
    <row r="69" s="2" customFormat="1" ht="15">
      <c r="A69" s="36"/>
    </row>
    <row r="70" s="2" customFormat="1" ht="15">
      <c r="A70" s="36"/>
    </row>
  </sheetData>
  <sheetProtection/>
  <mergeCells count="17">
    <mergeCell ref="B7:H7"/>
    <mergeCell ref="B11:G11"/>
    <mergeCell ref="A30:B30"/>
    <mergeCell ref="A65:B65"/>
    <mergeCell ref="B31:G31"/>
    <mergeCell ref="A39:C39"/>
    <mergeCell ref="A45:G45"/>
    <mergeCell ref="A66:B66"/>
    <mergeCell ref="F46:G46"/>
    <mergeCell ref="A53:C53"/>
    <mergeCell ref="A59:D59"/>
    <mergeCell ref="E59:G59"/>
    <mergeCell ref="A64:B64"/>
    <mergeCell ref="A1:B1"/>
    <mergeCell ref="A3:E3"/>
    <mergeCell ref="A5:H5"/>
    <mergeCell ref="A6:H6"/>
  </mergeCells>
  <printOptions/>
  <pageMargins left="0.34" right="0.3" top="0.42" bottom="0.51" header="0.3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4">
      <selection activeCell="E16" sqref="E16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7.00390625" style="10" customWidth="1"/>
    <col min="9" max="11" width="9.140625" style="10" customWidth="1"/>
    <col min="12" max="12" width="9.421875" style="10" bestFit="1" customWidth="1"/>
    <col min="13" max="16384" width="9.140625" style="10" customWidth="1"/>
  </cols>
  <sheetData>
    <row r="1" spans="1:5" s="2" customFormat="1" ht="15">
      <c r="A1" s="182" t="s">
        <v>0</v>
      </c>
      <c r="B1" s="182"/>
      <c r="C1" s="1" t="s">
        <v>158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182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183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4141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>
        <v>11425.04</v>
      </c>
      <c r="F13" s="19">
        <v>126</v>
      </c>
      <c r="G13" s="19">
        <f aca="true" t="shared" si="0" ref="G13:G28">E13+F13</f>
        <v>11551.04</v>
      </c>
      <c r="H13" s="15"/>
    </row>
    <row r="14" spans="1:8" s="4" customFormat="1" ht="15">
      <c r="A14" s="38"/>
      <c r="B14" s="168" t="s">
        <v>129</v>
      </c>
      <c r="C14" s="126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>
        <v>3654.47</v>
      </c>
      <c r="F15" s="19">
        <v>256</v>
      </c>
      <c r="G15" s="19">
        <f t="shared" si="0"/>
        <v>3910.47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>
        <v>780.98</v>
      </c>
      <c r="F16" s="19"/>
      <c r="G16" s="19">
        <f t="shared" si="0"/>
        <v>780.98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-277.07</v>
      </c>
      <c r="F17" s="19"/>
      <c r="G17" s="19">
        <f t="shared" si="0"/>
        <v>-277.07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2842.47</v>
      </c>
      <c r="F19" s="19"/>
      <c r="G19" s="19">
        <f t="shared" si="0"/>
        <v>2842.47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>
        <v>2981.52</v>
      </c>
      <c r="F22" s="19"/>
      <c r="G22" s="19">
        <f t="shared" si="0"/>
        <v>2981.52</v>
      </c>
      <c r="H22" s="15"/>
    </row>
    <row r="23" spans="1:12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>
        <v>6025.16</v>
      </c>
      <c r="F23" s="19">
        <f>40+1558.7</f>
        <v>1598.7</v>
      </c>
      <c r="G23" s="19">
        <f t="shared" si="0"/>
        <v>7623.86</v>
      </c>
      <c r="H23" s="15"/>
      <c r="J23" s="2">
        <f>E23</f>
        <v>6025.16</v>
      </c>
      <c r="L23" s="9">
        <f>G13+G15+G17+G19+G22+G23+G24+G25+G26+G27+G28+G38+G41+G42+E52</f>
        <v>143125.44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>
        <v>7702.26</v>
      </c>
      <c r="F24" s="19"/>
      <c r="G24" s="19">
        <f t="shared" si="0"/>
        <v>7702.26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>
        <v>9416.63</v>
      </c>
      <c r="F25" s="19"/>
      <c r="G25" s="19">
        <f t="shared" si="0"/>
        <v>9416.63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9">
        <v>1656.4</v>
      </c>
      <c r="F26" s="19"/>
      <c r="G26" s="19">
        <f t="shared" si="0"/>
        <v>1656.4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>
        <v>869.61</v>
      </c>
      <c r="F27" s="19"/>
      <c r="G27" s="19">
        <f t="shared" si="0"/>
        <v>869.61</v>
      </c>
      <c r="H27" s="15"/>
    </row>
    <row r="28" spans="1:8" s="2" customFormat="1" ht="15">
      <c r="A28" s="158"/>
      <c r="B28" s="172" t="s">
        <v>176</v>
      </c>
      <c r="C28" s="11" t="s">
        <v>12</v>
      </c>
      <c r="D28" s="15">
        <v>1</v>
      </c>
      <c r="E28" s="19">
        <v>2236</v>
      </c>
      <c r="F28" s="19"/>
      <c r="G28" s="19">
        <f t="shared" si="0"/>
        <v>2236</v>
      </c>
      <c r="H28" s="15"/>
    </row>
    <row r="29" spans="1:10" s="2" customFormat="1" ht="17.25" customHeight="1">
      <c r="A29" s="200" t="s">
        <v>118</v>
      </c>
      <c r="B29" s="201"/>
      <c r="C29" s="146"/>
      <c r="D29" s="30"/>
      <c r="E29" s="31">
        <f>E13+E15+E16+E17+E18+E19+E20+E21+E22+E23+E24+E25+E26+E27+E28</f>
        <v>49313.47</v>
      </c>
      <c r="F29" s="31">
        <f>F13+F15+F16+F17+F18+F19+F20+F21+F22+F23+F24+F25+F26+F27</f>
        <v>1980.7</v>
      </c>
      <c r="G29" s="31">
        <f>G13+G15+G16+G17+G18+G19+G20+G21+G22+G23+G24+G25+G26+G27+G28</f>
        <v>51294.17</v>
      </c>
      <c r="H29" s="30"/>
      <c r="J29" s="9">
        <f>E13+E15+E16+E21+E22+E23+E24+E25+E26+E27</f>
        <v>44512.07</v>
      </c>
    </row>
    <row r="30" spans="1:8" s="2" customFormat="1" ht="33.75" customHeight="1">
      <c r="A30" s="143" t="s">
        <v>119</v>
      </c>
      <c r="B30" s="198" t="s">
        <v>120</v>
      </c>
      <c r="C30" s="199"/>
      <c r="D30" s="199"/>
      <c r="E30" s="199"/>
      <c r="F30" s="199"/>
      <c r="G30" s="199"/>
      <c r="H30" s="117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9" t="s">
        <v>125</v>
      </c>
      <c r="C32" s="11" t="s">
        <v>12</v>
      </c>
      <c r="D32" s="15">
        <v>1</v>
      </c>
      <c r="E32" s="19">
        <f>E33+E34</f>
        <v>0</v>
      </c>
      <c r="F32" s="19">
        <f>F33+F34</f>
        <v>0</v>
      </c>
      <c r="G32" s="19">
        <f>G33+G34</f>
        <v>0</v>
      </c>
      <c r="H32" s="15"/>
    </row>
    <row r="33" spans="1:8" s="2" customFormat="1" ht="15">
      <c r="A33" s="13"/>
      <c r="B33" s="119"/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  <c r="J34" s="164">
        <f>F29+F38</f>
        <v>1980.7</v>
      </c>
    </row>
    <row r="35" spans="1:8" s="2" customFormat="1" ht="26.25" customHeight="1">
      <c r="A35" s="13" t="s">
        <v>26</v>
      </c>
      <c r="B35" s="119" t="s">
        <v>126</v>
      </c>
      <c r="C35" s="11" t="s">
        <v>12</v>
      </c>
      <c r="D35" s="15">
        <v>1</v>
      </c>
      <c r="E35" s="19">
        <f>E36+E37</f>
        <v>4384.95</v>
      </c>
      <c r="F35" s="19"/>
      <c r="G35" s="19">
        <f>E35+F35</f>
        <v>4384.95</v>
      </c>
      <c r="H35" s="15"/>
    </row>
    <row r="36" spans="1:8" s="2" customFormat="1" ht="15">
      <c r="A36" s="158"/>
      <c r="B36" s="159" t="s">
        <v>146</v>
      </c>
      <c r="C36" s="160"/>
      <c r="D36" s="15"/>
      <c r="E36" s="19">
        <v>4384.95</v>
      </c>
      <c r="F36" s="19"/>
      <c r="G36" s="19">
        <f>E36+F36</f>
        <v>4384.95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200" t="s">
        <v>122</v>
      </c>
      <c r="B38" s="201"/>
      <c r="C38" s="202"/>
      <c r="D38" s="30"/>
      <c r="E38" s="31">
        <f>E32+E35</f>
        <v>4384.95</v>
      </c>
      <c r="F38" s="31">
        <f>SUM(F32:F35)</f>
        <v>0</v>
      </c>
      <c r="G38" s="31">
        <f>G32+G35</f>
        <v>4384.95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7" t="s">
        <v>131</v>
      </c>
      <c r="B41" s="127" t="s">
        <v>15</v>
      </c>
      <c r="C41" s="23" t="s">
        <v>12</v>
      </c>
      <c r="D41" s="22">
        <v>1</v>
      </c>
      <c r="E41" s="24">
        <v>7435.8</v>
      </c>
      <c r="F41" s="24"/>
      <c r="G41" s="24">
        <f>E41+F41</f>
        <v>7435.8</v>
      </c>
      <c r="H41" s="30"/>
    </row>
    <row r="42" spans="1:8" s="35" customFormat="1" ht="28.5">
      <c r="A42" s="39" t="s">
        <v>132</v>
      </c>
      <c r="B42" s="135" t="s">
        <v>34</v>
      </c>
      <c r="C42" s="34" t="s">
        <v>12</v>
      </c>
      <c r="D42" s="148">
        <v>1</v>
      </c>
      <c r="E42" s="149">
        <v>2511.75</v>
      </c>
      <c r="F42" s="150"/>
      <c r="G42" s="24">
        <f>E42+F42</f>
        <v>2511.75</v>
      </c>
      <c r="H42" s="178"/>
    </row>
    <row r="43" spans="1:8" s="2" customFormat="1" ht="15">
      <c r="A43" s="151"/>
      <c r="B43" s="152" t="s">
        <v>123</v>
      </c>
      <c r="C43" s="153"/>
      <c r="D43" s="154"/>
      <c r="E43" s="155">
        <f>E29+E38+E41+E42</f>
        <v>63645.97</v>
      </c>
      <c r="F43" s="155">
        <f>F29+F38+F41+F42</f>
        <v>1980.7</v>
      </c>
      <c r="G43" s="155">
        <f>G29+G38+G41+G42</f>
        <v>65626.67</v>
      </c>
      <c r="H43" s="30"/>
    </row>
    <row r="44" spans="1:8" s="33" customFormat="1" ht="15" customHeight="1">
      <c r="A44" s="190" t="s">
        <v>103</v>
      </c>
      <c r="B44" s="191"/>
      <c r="C44" s="191"/>
      <c r="D44" s="191"/>
      <c r="E44" s="191"/>
      <c r="F44" s="191"/>
      <c r="G44" s="192"/>
      <c r="H44" s="179"/>
    </row>
    <row r="45" spans="1:8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3" t="s">
        <v>30</v>
      </c>
      <c r="G45" s="194"/>
      <c r="H45" s="30"/>
    </row>
    <row r="46" spans="1:8" s="2" customFormat="1" ht="25.5" customHeight="1">
      <c r="A46" s="13"/>
      <c r="B46" s="27" t="s">
        <v>35</v>
      </c>
      <c r="C46" s="23" t="s">
        <v>12</v>
      </c>
      <c r="D46" s="22">
        <v>1</v>
      </c>
      <c r="E46" s="24">
        <v>38163.24</v>
      </c>
      <c r="F46" s="24"/>
      <c r="G46" s="24"/>
      <c r="H46" s="30"/>
    </row>
    <row r="47" spans="1:8" s="2" customFormat="1" ht="15">
      <c r="A47" s="13"/>
      <c r="B47" s="27" t="s">
        <v>36</v>
      </c>
      <c r="C47" s="23" t="s">
        <v>12</v>
      </c>
      <c r="D47" s="22">
        <v>1</v>
      </c>
      <c r="E47" s="24">
        <v>6439.82</v>
      </c>
      <c r="F47" s="24"/>
      <c r="G47" s="24"/>
      <c r="H47" s="30"/>
    </row>
    <row r="48" spans="1:8" s="2" customFormat="1" ht="15">
      <c r="A48" s="13"/>
      <c r="B48" s="27" t="s">
        <v>37</v>
      </c>
      <c r="C48" s="23" t="s">
        <v>12</v>
      </c>
      <c r="D48" s="22">
        <v>1</v>
      </c>
      <c r="E48" s="24">
        <v>16140.89</v>
      </c>
      <c r="F48" s="24"/>
      <c r="G48" s="24"/>
      <c r="H48" s="30"/>
    </row>
    <row r="49" spans="1:8" s="2" customFormat="1" ht="15">
      <c r="A49" s="13"/>
      <c r="B49" s="27" t="s">
        <v>38</v>
      </c>
      <c r="C49" s="23" t="s">
        <v>12</v>
      </c>
      <c r="D49" s="22">
        <v>1</v>
      </c>
      <c r="E49" s="24">
        <v>7688.38</v>
      </c>
      <c r="F49" s="24"/>
      <c r="G49" s="24"/>
      <c r="H49" s="30"/>
    </row>
    <row r="50" spans="1:8" s="2" customFormat="1" ht="15">
      <c r="A50" s="13"/>
      <c r="B50" s="27" t="s">
        <v>39</v>
      </c>
      <c r="C50" s="23" t="s">
        <v>12</v>
      </c>
      <c r="D50" s="15">
        <v>1</v>
      </c>
      <c r="E50" s="24">
        <v>9847.42</v>
      </c>
      <c r="F50" s="21"/>
      <c r="G50" s="19"/>
      <c r="H50" s="30"/>
    </row>
    <row r="51" spans="1:8" s="2" customFormat="1" ht="15">
      <c r="A51" s="13"/>
      <c r="B51" s="14"/>
      <c r="C51" s="23"/>
      <c r="D51" s="22"/>
      <c r="E51" s="24"/>
      <c r="F51" s="24"/>
      <c r="G51" s="24"/>
      <c r="H51" s="30"/>
    </row>
    <row r="52" spans="1:8" s="2" customFormat="1" ht="15">
      <c r="A52" s="195" t="s">
        <v>40</v>
      </c>
      <c r="B52" s="196"/>
      <c r="C52" s="197"/>
      <c r="D52" s="15"/>
      <c r="E52" s="24">
        <f>SUM(E46:E51)</f>
        <v>78279.75</v>
      </c>
      <c r="F52" s="17"/>
      <c r="G52" s="15"/>
      <c r="H52" s="30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4" t="s">
        <v>9</v>
      </c>
      <c r="B58" s="204"/>
      <c r="C58" s="204"/>
      <c r="D58" s="204"/>
      <c r="E58" s="205">
        <f>G43+E52</f>
        <v>143906.41999999998</v>
      </c>
      <c r="F58" s="205"/>
      <c r="G58" s="205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6" t="s">
        <v>31</v>
      </c>
      <c r="B63" s="206"/>
      <c r="E63" s="2" t="s">
        <v>10</v>
      </c>
    </row>
    <row r="64" spans="1:5" s="2" customFormat="1" ht="15">
      <c r="A64" s="206" t="s">
        <v>1</v>
      </c>
      <c r="B64" s="206"/>
      <c r="E64" s="2" t="s">
        <v>160</v>
      </c>
    </row>
    <row r="65" spans="1:5" s="2" customFormat="1" ht="30" customHeight="1">
      <c r="A65" s="181" t="s">
        <v>177</v>
      </c>
      <c r="B65" s="181"/>
      <c r="C65" s="18"/>
      <c r="E65" s="2" t="s">
        <v>161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B7:H7"/>
    <mergeCell ref="B11:G11"/>
    <mergeCell ref="A29:B29"/>
    <mergeCell ref="A64:B64"/>
    <mergeCell ref="B30:G30"/>
    <mergeCell ref="A38:C38"/>
    <mergeCell ref="A44:G44"/>
    <mergeCell ref="A65:B65"/>
    <mergeCell ref="F45:G45"/>
    <mergeCell ref="A52:C52"/>
    <mergeCell ref="A58:D58"/>
    <mergeCell ref="E58:G58"/>
    <mergeCell ref="A63:B63"/>
    <mergeCell ref="A1:B1"/>
    <mergeCell ref="A3:E3"/>
    <mergeCell ref="A5:H5"/>
    <mergeCell ref="A6:H6"/>
  </mergeCells>
  <printOptions/>
  <pageMargins left="0.34" right="0.31" top="0.41" bottom="0.72" header="0.28" footer="0.2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25">
      <selection activeCell="E29" sqref="E29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2" t="s">
        <v>0</v>
      </c>
      <c r="B1" s="182"/>
      <c r="C1" s="1" t="s">
        <v>158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184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185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4141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>
        <v>11425.05</v>
      </c>
      <c r="F13" s="19">
        <v>125</v>
      </c>
      <c r="G13" s="19">
        <f aca="true" t="shared" si="0" ref="G13:G28">E13+F13</f>
        <v>11550.05</v>
      </c>
      <c r="H13" s="15"/>
    </row>
    <row r="14" spans="1:8" s="4" customFormat="1" ht="15">
      <c r="A14" s="38"/>
      <c r="B14" s="168" t="s">
        <v>129</v>
      </c>
      <c r="C14" s="126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>
        <v>3554.46</v>
      </c>
      <c r="F15" s="19">
        <f>260+126</f>
        <v>386</v>
      </c>
      <c r="G15" s="19">
        <f t="shared" si="0"/>
        <v>3940.46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>
        <v>780.98</v>
      </c>
      <c r="F16" s="19"/>
      <c r="G16" s="19">
        <f t="shared" si="0"/>
        <v>780.98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2680.81</v>
      </c>
      <c r="F19" s="19"/>
      <c r="G19" s="19">
        <f t="shared" si="0"/>
        <v>2680.81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>
        <v>2981.52</v>
      </c>
      <c r="F22" s="19"/>
      <c r="G22" s="19">
        <f t="shared" si="0"/>
        <v>2981.52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>
        <v>6025.16</v>
      </c>
      <c r="F23" s="19">
        <f>1790+1303.37</f>
        <v>3093.37</v>
      </c>
      <c r="G23" s="19">
        <f t="shared" si="0"/>
        <v>9118.529999999999</v>
      </c>
      <c r="H23" s="15"/>
      <c r="J23" s="2">
        <f>E23</f>
        <v>6025.16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>
        <v>7702.26</v>
      </c>
      <c r="F24" s="19"/>
      <c r="G24" s="19">
        <f t="shared" si="0"/>
        <v>7702.26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>
        <v>9416.63</v>
      </c>
      <c r="F25" s="19"/>
      <c r="G25" s="19">
        <f t="shared" si="0"/>
        <v>9416.63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9">
        <v>1656.4</v>
      </c>
      <c r="F26" s="19"/>
      <c r="G26" s="19">
        <f t="shared" si="0"/>
        <v>1656.4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>
        <v>869.61</v>
      </c>
      <c r="F27" s="19"/>
      <c r="G27" s="19">
        <f t="shared" si="0"/>
        <v>869.61</v>
      </c>
      <c r="H27" s="15"/>
    </row>
    <row r="28" spans="1:8" s="2" customFormat="1" ht="15">
      <c r="A28" s="158"/>
      <c r="B28" s="172" t="s">
        <v>176</v>
      </c>
      <c r="C28" s="11" t="s">
        <v>12</v>
      </c>
      <c r="D28" s="15">
        <v>1</v>
      </c>
      <c r="E28" s="19">
        <v>2236</v>
      </c>
      <c r="F28" s="19"/>
      <c r="G28" s="19">
        <f t="shared" si="0"/>
        <v>2236</v>
      </c>
      <c r="H28" s="15"/>
    </row>
    <row r="29" spans="1:10" s="2" customFormat="1" ht="17.25" customHeight="1">
      <c r="A29" s="200" t="s">
        <v>118</v>
      </c>
      <c r="B29" s="201"/>
      <c r="C29" s="146"/>
      <c r="D29" s="30"/>
      <c r="E29" s="31">
        <f>E13+E15+E16+E17+E18+E19+E20+E21+E22+E23+E24+E25+E26+E27+E28</f>
        <v>49328.88</v>
      </c>
      <c r="F29" s="31">
        <f>F13+F15+F16+F17+F18+F19+F20+F21+F22+F23+F24+F25+F26+F27</f>
        <v>3604.37</v>
      </c>
      <c r="G29" s="31">
        <f>G13+G15+G16+G17+G18+G19+G20+G21+G22+G23+G24+G25+G26+G27+G28</f>
        <v>52933.25</v>
      </c>
      <c r="H29" s="30"/>
      <c r="J29" s="9">
        <f>E13+E15+E16+E21+E22+E23+E24+E25+E26+E27</f>
        <v>44412.07</v>
      </c>
    </row>
    <row r="30" spans="1:8" s="2" customFormat="1" ht="33.75" customHeight="1">
      <c r="A30" s="143" t="s">
        <v>119</v>
      </c>
      <c r="B30" s="198" t="s">
        <v>120</v>
      </c>
      <c r="C30" s="199"/>
      <c r="D30" s="199"/>
      <c r="E30" s="199"/>
      <c r="F30" s="199"/>
      <c r="G30" s="199"/>
      <c r="H30" s="117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9" t="s">
        <v>125</v>
      </c>
      <c r="C32" s="11" t="s">
        <v>12</v>
      </c>
      <c r="D32" s="15">
        <v>1</v>
      </c>
      <c r="E32" s="19">
        <f>E33+E34</f>
        <v>0</v>
      </c>
      <c r="F32" s="19"/>
      <c r="G32" s="19">
        <f>G33+G34</f>
        <v>300</v>
      </c>
      <c r="H32" s="15"/>
    </row>
    <row r="33" spans="1:8" s="2" customFormat="1" ht="15">
      <c r="A33" s="13"/>
      <c r="B33" s="119"/>
      <c r="C33" s="11"/>
      <c r="D33" s="15"/>
      <c r="E33" s="19"/>
      <c r="F33" s="19">
        <v>300</v>
      </c>
      <c r="G33" s="19">
        <f>E33+F33</f>
        <v>300</v>
      </c>
      <c r="H33" s="15"/>
    </row>
    <row r="34" spans="1:10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  <c r="J34" s="164">
        <f>F29+F38+F33+F36</f>
        <v>4204.37</v>
      </c>
    </row>
    <row r="35" spans="1:8" s="2" customFormat="1" ht="26.25" customHeight="1">
      <c r="A35" s="13" t="s">
        <v>26</v>
      </c>
      <c r="B35" s="119" t="s">
        <v>126</v>
      </c>
      <c r="C35" s="11" t="s">
        <v>12</v>
      </c>
      <c r="D35" s="15">
        <v>1</v>
      </c>
      <c r="E35" s="19">
        <f>E36+E37</f>
        <v>4384.95</v>
      </c>
      <c r="F35" s="19"/>
      <c r="G35" s="19">
        <f>G36+G37</f>
        <v>4384.95</v>
      </c>
      <c r="H35" s="15"/>
    </row>
    <row r="36" spans="1:8" s="2" customFormat="1" ht="15">
      <c r="A36" s="158"/>
      <c r="B36" s="159" t="s">
        <v>190</v>
      </c>
      <c r="C36" s="160"/>
      <c r="D36" s="15"/>
      <c r="E36" s="19">
        <v>4384.95</v>
      </c>
      <c r="F36" s="19"/>
      <c r="G36" s="19">
        <f>E36+F36</f>
        <v>4384.95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200" t="s">
        <v>122</v>
      </c>
      <c r="B38" s="201"/>
      <c r="C38" s="202"/>
      <c r="D38" s="30"/>
      <c r="E38" s="31">
        <f>E32+E35</f>
        <v>4384.95</v>
      </c>
      <c r="F38" s="31">
        <f>SUM(F32:F35)</f>
        <v>300</v>
      </c>
      <c r="G38" s="31">
        <f>G32+G35</f>
        <v>4684.95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7" t="s">
        <v>131</v>
      </c>
      <c r="B41" s="127" t="s">
        <v>15</v>
      </c>
      <c r="C41" s="23" t="s">
        <v>12</v>
      </c>
      <c r="D41" s="22">
        <v>1</v>
      </c>
      <c r="E41" s="24">
        <v>7435.8</v>
      </c>
      <c r="F41" s="24"/>
      <c r="G41" s="24">
        <f>E41+F41</f>
        <v>7435.8</v>
      </c>
      <c r="H41" s="30"/>
    </row>
    <row r="42" spans="1:7" s="35" customFormat="1" ht="28.5">
      <c r="A42" s="39" t="s">
        <v>132</v>
      </c>
      <c r="B42" s="135" t="s">
        <v>34</v>
      </c>
      <c r="C42" s="34" t="s">
        <v>12</v>
      </c>
      <c r="D42" s="148">
        <v>1</v>
      </c>
      <c r="E42" s="149"/>
      <c r="F42" s="150"/>
      <c r="G42" s="24">
        <f>E42+F42</f>
        <v>0</v>
      </c>
    </row>
    <row r="43" spans="1:8" s="2" customFormat="1" ht="15">
      <c r="A43" s="151"/>
      <c r="B43" s="152" t="s">
        <v>123</v>
      </c>
      <c r="C43" s="153"/>
      <c r="D43" s="154"/>
      <c r="E43" s="155">
        <f>E29+E38+E41+E42</f>
        <v>61149.63</v>
      </c>
      <c r="F43" s="155">
        <f>F29+F38+F41+F42</f>
        <v>3904.37</v>
      </c>
      <c r="G43" s="155">
        <f>G29+G38+G41+G42</f>
        <v>65054</v>
      </c>
      <c r="H43" s="30"/>
    </row>
    <row r="44" spans="1:7" s="33" customFormat="1" ht="15" customHeight="1">
      <c r="A44" s="190" t="s">
        <v>103</v>
      </c>
      <c r="B44" s="191"/>
      <c r="C44" s="191"/>
      <c r="D44" s="191"/>
      <c r="E44" s="191"/>
      <c r="F44" s="191"/>
      <c r="G44" s="192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3" t="s">
        <v>30</v>
      </c>
      <c r="G45" s="194"/>
    </row>
    <row r="46" spans="1:7" s="2" customFormat="1" ht="25.5" customHeight="1">
      <c r="A46" s="13"/>
      <c r="B46" s="27" t="s">
        <v>35</v>
      </c>
      <c r="C46" s="23" t="s">
        <v>12</v>
      </c>
      <c r="D46" s="22">
        <v>1</v>
      </c>
      <c r="E46" s="24">
        <v>48808.6</v>
      </c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>
        <v>60946.35</v>
      </c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>
        <v>12882.49</v>
      </c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22">
        <v>1</v>
      </c>
      <c r="E49" s="24">
        <v>9752.7</v>
      </c>
      <c r="F49" s="24"/>
      <c r="G49" s="24"/>
    </row>
    <row r="50" spans="1:7" s="2" customFormat="1" ht="15">
      <c r="A50" s="13"/>
      <c r="B50" s="27" t="s">
        <v>39</v>
      </c>
      <c r="C50" s="23" t="s">
        <v>12</v>
      </c>
      <c r="D50" s="15">
        <v>1</v>
      </c>
      <c r="E50" s="24">
        <v>11623.59</v>
      </c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5" t="s">
        <v>40</v>
      </c>
      <c r="B52" s="196"/>
      <c r="C52" s="197"/>
      <c r="D52" s="15"/>
      <c r="E52" s="24">
        <f>SUM(E46:E51)</f>
        <v>144013.73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4" t="s">
        <v>9</v>
      </c>
      <c r="B58" s="204"/>
      <c r="C58" s="204"/>
      <c r="D58" s="204"/>
      <c r="E58" s="205">
        <f>G43+E52</f>
        <v>209067.73</v>
      </c>
      <c r="F58" s="205"/>
      <c r="G58" s="205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6" t="s">
        <v>31</v>
      </c>
      <c r="B63" s="206"/>
      <c r="E63" s="2" t="s">
        <v>10</v>
      </c>
    </row>
    <row r="64" spans="1:5" s="2" customFormat="1" ht="15">
      <c r="A64" s="206" t="s">
        <v>1</v>
      </c>
      <c r="B64" s="206"/>
      <c r="E64" s="2" t="s">
        <v>160</v>
      </c>
    </row>
    <row r="65" spans="1:5" s="2" customFormat="1" ht="30" customHeight="1">
      <c r="A65" s="181" t="s">
        <v>178</v>
      </c>
      <c r="B65" s="181"/>
      <c r="C65" s="18"/>
      <c r="E65" s="2" t="s">
        <v>161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B7:H7"/>
    <mergeCell ref="B11:G11"/>
    <mergeCell ref="A29:B29"/>
    <mergeCell ref="A64:B64"/>
    <mergeCell ref="B30:G30"/>
    <mergeCell ref="A38:C38"/>
    <mergeCell ref="A44:G44"/>
    <mergeCell ref="A65:B65"/>
    <mergeCell ref="F45:G45"/>
    <mergeCell ref="A52:C52"/>
    <mergeCell ref="A58:D58"/>
    <mergeCell ref="E58:G58"/>
    <mergeCell ref="A63:B63"/>
    <mergeCell ref="A1:B1"/>
    <mergeCell ref="A3:E3"/>
    <mergeCell ref="A5:H5"/>
    <mergeCell ref="A6:H6"/>
  </mergeCells>
  <printOptions/>
  <pageMargins left="0.32" right="0.17" top="0.58" bottom="0.35" header="0.5" footer="0.2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28">
      <selection activeCell="L42" sqref="L42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0" width="9.140625" style="10" customWidth="1"/>
    <col min="11" max="11" width="9.421875" style="10" bestFit="1" customWidth="1"/>
    <col min="12" max="16384" width="9.140625" style="10" customWidth="1"/>
  </cols>
  <sheetData>
    <row r="1" spans="1:5" s="2" customFormat="1" ht="15">
      <c r="A1" s="182" t="s">
        <v>0</v>
      </c>
      <c r="B1" s="182"/>
      <c r="C1" s="1" t="s">
        <v>158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186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187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4141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>
        <v>13142.24</v>
      </c>
      <c r="F13" s="19">
        <v>460</v>
      </c>
      <c r="G13" s="19">
        <f aca="true" t="shared" si="0" ref="G13:G28">E13+F13</f>
        <v>13602.24</v>
      </c>
      <c r="H13" s="15"/>
    </row>
    <row r="14" spans="1:8" s="4" customFormat="1" ht="15">
      <c r="A14" s="38"/>
      <c r="B14" s="168" t="s">
        <v>129</v>
      </c>
      <c r="C14" s="126"/>
      <c r="D14" s="28"/>
      <c r="E14" s="29"/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>
        <v>3554.46</v>
      </c>
      <c r="F15" s="19">
        <f>262+215.35</f>
        <v>477.35</v>
      </c>
      <c r="G15" s="19">
        <f t="shared" si="0"/>
        <v>4031.81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>
        <v>780.98</v>
      </c>
      <c r="F16" s="19"/>
      <c r="G16" s="19">
        <f t="shared" si="0"/>
        <v>780.98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250.12</v>
      </c>
      <c r="F17" s="19"/>
      <c r="G17" s="19">
        <f t="shared" si="0"/>
        <v>250.12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359.37</v>
      </c>
      <c r="F19" s="19"/>
      <c r="G19" s="19">
        <f t="shared" si="0"/>
        <v>359.37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>
        <v>2981.52</v>
      </c>
      <c r="F22" s="19"/>
      <c r="G22" s="19">
        <f t="shared" si="0"/>
        <v>2981.52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>
        <v>6025.16</v>
      </c>
      <c r="F23" s="19"/>
      <c r="G23" s="19">
        <f t="shared" si="0"/>
        <v>6025.16</v>
      </c>
      <c r="H23" s="15"/>
      <c r="J23" s="2">
        <f>E23</f>
        <v>6025.16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>
        <v>7702.26</v>
      </c>
      <c r="F24" s="19"/>
      <c r="G24" s="19">
        <f t="shared" si="0"/>
        <v>7702.26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>
        <v>9416.63</v>
      </c>
      <c r="F25" s="19"/>
      <c r="G25" s="19">
        <f t="shared" si="0"/>
        <v>9416.63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9">
        <v>1656.4</v>
      </c>
      <c r="F26" s="19"/>
      <c r="G26" s="19">
        <f t="shared" si="0"/>
        <v>1656.4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>
        <v>869.61</v>
      </c>
      <c r="F27" s="19"/>
      <c r="G27" s="19">
        <f t="shared" si="0"/>
        <v>869.61</v>
      </c>
      <c r="H27" s="15"/>
    </row>
    <row r="28" spans="1:8" s="2" customFormat="1" ht="15">
      <c r="A28" s="158"/>
      <c r="B28" s="172" t="s">
        <v>176</v>
      </c>
      <c r="C28" s="11" t="s">
        <v>12</v>
      </c>
      <c r="D28" s="15">
        <v>1</v>
      </c>
      <c r="E28" s="19">
        <v>2236</v>
      </c>
      <c r="F28" s="19"/>
      <c r="G28" s="19">
        <f t="shared" si="0"/>
        <v>2236</v>
      </c>
      <c r="H28" s="15"/>
    </row>
    <row r="29" spans="1:10" s="2" customFormat="1" ht="17.25" customHeight="1">
      <c r="A29" s="200" t="s">
        <v>118</v>
      </c>
      <c r="B29" s="201"/>
      <c r="C29" s="146"/>
      <c r="D29" s="30"/>
      <c r="E29" s="31">
        <f>E13+E15+E16+E17+E18+E19+E20+E21+E22+E23+E24+E25+E26+E27+E28</f>
        <v>48974.75</v>
      </c>
      <c r="F29" s="31">
        <f>F13+F15+F16+F17+F18+F19+F20+F21+F22+F23+F24+F25+F26+F27</f>
        <v>937.35</v>
      </c>
      <c r="G29" s="31">
        <f>G13+G15+G16+G17+G18+G19+G20+G21+G22+G23+G24+G25+G26+G27+G28</f>
        <v>49912.1</v>
      </c>
      <c r="H29" s="30"/>
      <c r="J29" s="9">
        <f>E13+E15+E16+E21+E22+E23+E24+E25+E26+E27</f>
        <v>46129.26</v>
      </c>
    </row>
    <row r="30" spans="1:8" s="2" customFormat="1" ht="33.75" customHeight="1">
      <c r="A30" s="143" t="s">
        <v>119</v>
      </c>
      <c r="B30" s="198" t="s">
        <v>120</v>
      </c>
      <c r="C30" s="199"/>
      <c r="D30" s="199"/>
      <c r="E30" s="199"/>
      <c r="F30" s="199"/>
      <c r="G30" s="199"/>
      <c r="H30" s="117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9" t="s">
        <v>125</v>
      </c>
      <c r="C32" s="11" t="s">
        <v>12</v>
      </c>
      <c r="D32" s="15">
        <v>1</v>
      </c>
      <c r="E32" s="19">
        <f>E33+E34</f>
        <v>0</v>
      </c>
      <c r="F32" s="19"/>
      <c r="G32" s="19">
        <f>G33+G34</f>
        <v>0</v>
      </c>
      <c r="H32" s="15"/>
    </row>
    <row r="33" spans="1:8" s="2" customFormat="1" ht="15">
      <c r="A33" s="13"/>
      <c r="B33" s="119"/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  <c r="J34" s="164">
        <f>F29+F38</f>
        <v>59050.35</v>
      </c>
    </row>
    <row r="35" spans="1:8" s="2" customFormat="1" ht="26.25" customHeight="1">
      <c r="A35" s="13" t="s">
        <v>26</v>
      </c>
      <c r="B35" s="119" t="s">
        <v>126</v>
      </c>
      <c r="C35" s="11" t="s">
        <v>12</v>
      </c>
      <c r="D35" s="15">
        <v>1</v>
      </c>
      <c r="E35" s="19">
        <f>E36+E37</f>
        <v>34580</v>
      </c>
      <c r="F35" s="19">
        <f>F36+F37</f>
        <v>58113</v>
      </c>
      <c r="G35" s="19">
        <f>G36+G37</f>
        <v>92693</v>
      </c>
      <c r="H35" s="15"/>
    </row>
    <row r="36" spans="1:8" s="2" customFormat="1" ht="15">
      <c r="A36" s="158"/>
      <c r="B36" s="159" t="s">
        <v>191</v>
      </c>
      <c r="C36" s="160"/>
      <c r="D36" s="15"/>
      <c r="E36" s="19">
        <v>34580</v>
      </c>
      <c r="F36" s="19">
        <f>58073+40</f>
        <v>58113</v>
      </c>
      <c r="G36" s="19">
        <f>E36+F36</f>
        <v>92693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11" s="2" customFormat="1" ht="24.75" customHeight="1">
      <c r="A38" s="200" t="s">
        <v>122</v>
      </c>
      <c r="B38" s="201"/>
      <c r="C38" s="202"/>
      <c r="D38" s="30"/>
      <c r="E38" s="31">
        <f>E32+E35</f>
        <v>34580</v>
      </c>
      <c r="F38" s="31">
        <f>SUM(F32:F35)</f>
        <v>58113</v>
      </c>
      <c r="G38" s="31">
        <f>G32+G35</f>
        <v>92693</v>
      </c>
      <c r="H38" s="30"/>
      <c r="K38" s="9">
        <f>G29+G38+G41+E52</f>
        <v>311463.92</v>
      </c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7" t="s">
        <v>131</v>
      </c>
      <c r="B41" s="127" t="s">
        <v>15</v>
      </c>
      <c r="C41" s="23" t="s">
        <v>12</v>
      </c>
      <c r="D41" s="22">
        <v>1</v>
      </c>
      <c r="E41" s="24">
        <v>7435.8</v>
      </c>
      <c r="F41" s="24"/>
      <c r="G41" s="24">
        <f>E41+F41</f>
        <v>7435.8</v>
      </c>
      <c r="H41" s="30"/>
    </row>
    <row r="42" spans="1:7" s="35" customFormat="1" ht="28.5">
      <c r="A42" s="39" t="s">
        <v>132</v>
      </c>
      <c r="B42" s="135" t="s">
        <v>34</v>
      </c>
      <c r="C42" s="34" t="s">
        <v>12</v>
      </c>
      <c r="D42" s="148">
        <v>1</v>
      </c>
      <c r="E42" s="149"/>
      <c r="F42" s="150"/>
      <c r="G42" s="24">
        <f>E42+F42</f>
        <v>0</v>
      </c>
    </row>
    <row r="43" spans="1:8" s="2" customFormat="1" ht="15">
      <c r="A43" s="151"/>
      <c r="B43" s="152" t="s">
        <v>123</v>
      </c>
      <c r="C43" s="153"/>
      <c r="D43" s="154"/>
      <c r="E43" s="155">
        <f>E29+E38+E41+E42</f>
        <v>90990.55</v>
      </c>
      <c r="F43" s="155">
        <f>F29+F38+F41+F42</f>
        <v>59050.35</v>
      </c>
      <c r="G43" s="155">
        <f>G29+G38+G41+G42</f>
        <v>150040.9</v>
      </c>
      <c r="H43" s="30"/>
    </row>
    <row r="44" spans="1:7" s="33" customFormat="1" ht="15" customHeight="1">
      <c r="A44" s="190" t="s">
        <v>103</v>
      </c>
      <c r="B44" s="191"/>
      <c r="C44" s="191"/>
      <c r="D44" s="191"/>
      <c r="E44" s="191"/>
      <c r="F44" s="191"/>
      <c r="G44" s="192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3" t="s">
        <v>30</v>
      </c>
      <c r="G45" s="194"/>
    </row>
    <row r="46" spans="1:7" s="2" customFormat="1" ht="25.5" customHeight="1">
      <c r="A46" s="13"/>
      <c r="B46" s="27" t="s">
        <v>35</v>
      </c>
      <c r="C46" s="23" t="s">
        <v>12</v>
      </c>
      <c r="D46" s="22">
        <v>1</v>
      </c>
      <c r="E46" s="24">
        <v>46334.56</v>
      </c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>
        <v>78669.45</v>
      </c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>
        <v>15247.51</v>
      </c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22">
        <v>1</v>
      </c>
      <c r="E49" s="24">
        <v>10394.58</v>
      </c>
      <c r="F49" s="24"/>
      <c r="G49" s="24"/>
    </row>
    <row r="50" spans="1:7" s="2" customFormat="1" ht="15">
      <c r="A50" s="13"/>
      <c r="B50" s="27" t="s">
        <v>39</v>
      </c>
      <c r="C50" s="23" t="s">
        <v>12</v>
      </c>
      <c r="D50" s="15">
        <v>1</v>
      </c>
      <c r="E50" s="24">
        <v>10776.92</v>
      </c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5" t="s">
        <v>40</v>
      </c>
      <c r="B52" s="196"/>
      <c r="C52" s="197"/>
      <c r="D52" s="15"/>
      <c r="E52" s="24">
        <f>SUM(E46:E51)</f>
        <v>161423.02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4" t="s">
        <v>9</v>
      </c>
      <c r="B58" s="204"/>
      <c r="C58" s="204"/>
      <c r="D58" s="204"/>
      <c r="E58" s="205">
        <f>G43+E52</f>
        <v>311463.92</v>
      </c>
      <c r="F58" s="205"/>
      <c r="G58" s="205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6" t="s">
        <v>31</v>
      </c>
      <c r="B63" s="206"/>
      <c r="E63" s="2" t="s">
        <v>10</v>
      </c>
    </row>
    <row r="64" spans="1:5" s="2" customFormat="1" ht="15">
      <c r="A64" s="206" t="s">
        <v>1</v>
      </c>
      <c r="B64" s="206"/>
      <c r="E64" s="2" t="s">
        <v>160</v>
      </c>
    </row>
    <row r="65" spans="1:5" s="2" customFormat="1" ht="30" customHeight="1">
      <c r="A65" s="181" t="s">
        <v>177</v>
      </c>
      <c r="B65" s="181"/>
      <c r="C65" s="18"/>
      <c r="E65" s="2" t="s">
        <v>161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A64:B64"/>
    <mergeCell ref="A65:B65"/>
    <mergeCell ref="A44:G44"/>
    <mergeCell ref="F45:G45"/>
    <mergeCell ref="A52:C52"/>
    <mergeCell ref="A58:D58"/>
    <mergeCell ref="E58:G58"/>
    <mergeCell ref="A63:B63"/>
    <mergeCell ref="A1:B1"/>
    <mergeCell ref="A3:E3"/>
    <mergeCell ref="A5:H5"/>
    <mergeCell ref="A6:H6"/>
    <mergeCell ref="A38:C38"/>
    <mergeCell ref="B7:H7"/>
    <mergeCell ref="B11:G11"/>
    <mergeCell ref="A29:B29"/>
    <mergeCell ref="B30:G30"/>
  </mergeCells>
  <printOptions/>
  <pageMargins left="0.21" right="0.17" top="0.37" bottom="0.23" header="0.26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2" t="s">
        <v>0</v>
      </c>
      <c r="B1" s="182"/>
      <c r="C1" s="1" t="s">
        <v>158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164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141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4141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>
        <v>13949.45</v>
      </c>
      <c r="F13" s="19">
        <v>124</v>
      </c>
      <c r="G13" s="19">
        <f aca="true" t="shared" si="0" ref="G13:G28">E13+F13</f>
        <v>14073.45</v>
      </c>
      <c r="H13" s="15"/>
    </row>
    <row r="14" spans="1:8" s="4" customFormat="1" ht="15">
      <c r="A14" s="38"/>
      <c r="B14" s="168" t="s">
        <v>129</v>
      </c>
      <c r="C14" s="126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>
        <v>3554.46</v>
      </c>
      <c r="F15" s="19">
        <v>476</v>
      </c>
      <c r="G15" s="19">
        <f t="shared" si="0"/>
        <v>4030.46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>
        <v>780.98</v>
      </c>
      <c r="F16" s="19"/>
      <c r="G16" s="19">
        <f t="shared" si="0"/>
        <v>780.98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11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  <c r="K18" s="2" t="s">
        <v>58</v>
      </c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>
        <v>2981.52</v>
      </c>
      <c r="F22" s="19"/>
      <c r="G22" s="19">
        <f t="shared" si="0"/>
        <v>2981.52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>
        <v>6025.16</v>
      </c>
      <c r="F23" s="19"/>
      <c r="G23" s="19">
        <f t="shared" si="0"/>
        <v>6025.16</v>
      </c>
      <c r="H23" s="15"/>
      <c r="J23" s="2">
        <f>E23</f>
        <v>6025.16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>
        <v>7702.26</v>
      </c>
      <c r="F24" s="19"/>
      <c r="G24" s="19">
        <f t="shared" si="0"/>
        <v>7702.26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>
        <v>9416.63</v>
      </c>
      <c r="F25" s="19"/>
      <c r="G25" s="19">
        <f t="shared" si="0"/>
        <v>9416.63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9">
        <v>1656.4</v>
      </c>
      <c r="F26" s="19"/>
      <c r="G26" s="19">
        <f t="shared" si="0"/>
        <v>1656.4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>
        <v>869.61</v>
      </c>
      <c r="F27" s="19"/>
      <c r="G27" s="19">
        <f t="shared" si="0"/>
        <v>869.61</v>
      </c>
      <c r="H27" s="15"/>
    </row>
    <row r="28" spans="1:8" s="2" customFormat="1" ht="15">
      <c r="A28" s="158"/>
      <c r="B28" s="172" t="s">
        <v>176</v>
      </c>
      <c r="C28" s="11" t="s">
        <v>12</v>
      </c>
      <c r="D28" s="15">
        <v>1</v>
      </c>
      <c r="E28" s="19">
        <v>2236</v>
      </c>
      <c r="F28" s="19"/>
      <c r="G28" s="19">
        <f t="shared" si="0"/>
        <v>2236</v>
      </c>
      <c r="H28" s="15"/>
    </row>
    <row r="29" spans="1:10" s="2" customFormat="1" ht="17.25" customHeight="1">
      <c r="A29" s="200" t="s">
        <v>118</v>
      </c>
      <c r="B29" s="201"/>
      <c r="C29" s="146"/>
      <c r="D29" s="30"/>
      <c r="E29" s="31">
        <f>E13+E15+E16+E17+E18+E19+E20+E21+E22+E23+E24+E25+E26+E27+E28</f>
        <v>49172.47</v>
      </c>
      <c r="F29" s="31">
        <f>F13+F15+F16+F17+F18+F19+F20+F21+F22+F23+F24+F25+F26+F27</f>
        <v>600</v>
      </c>
      <c r="G29" s="31">
        <f>G13+G15+G16+G17+G18+G19+G20+G21+G22+G23+G24+G25+G26+G27+G28</f>
        <v>49772.47</v>
      </c>
      <c r="H29" s="30"/>
      <c r="J29" s="9">
        <f>E13+E15+E16+E21+E22+E23+E24+E25+E26+E27</f>
        <v>46936.47</v>
      </c>
    </row>
    <row r="30" spans="1:8" s="2" customFormat="1" ht="33.75" customHeight="1">
      <c r="A30" s="143" t="s">
        <v>119</v>
      </c>
      <c r="B30" s="198" t="s">
        <v>120</v>
      </c>
      <c r="C30" s="199"/>
      <c r="D30" s="199"/>
      <c r="E30" s="199"/>
      <c r="F30" s="199"/>
      <c r="G30" s="199"/>
      <c r="H30" s="117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9" t="s">
        <v>125</v>
      </c>
      <c r="C32" s="11" t="s">
        <v>12</v>
      </c>
      <c r="D32" s="15">
        <v>1</v>
      </c>
      <c r="E32" s="19">
        <f>E33+E34</f>
        <v>8000</v>
      </c>
      <c r="F32" s="19">
        <f>F33+F34</f>
        <v>0</v>
      </c>
      <c r="G32" s="19">
        <f>G33+G34</f>
        <v>8000</v>
      </c>
      <c r="H32" s="15"/>
    </row>
    <row r="33" spans="1:8" s="2" customFormat="1" ht="15">
      <c r="A33" s="13"/>
      <c r="B33" s="119" t="s">
        <v>192</v>
      </c>
      <c r="C33" s="11"/>
      <c r="D33" s="15"/>
      <c r="E33" s="19">
        <v>8000</v>
      </c>
      <c r="F33" s="19"/>
      <c r="G33" s="19">
        <f>E33+F33</f>
        <v>8000</v>
      </c>
      <c r="H33" s="15"/>
    </row>
    <row r="34" spans="1:10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  <c r="J34" s="164">
        <f>F29+F38</f>
        <v>12014.4</v>
      </c>
    </row>
    <row r="35" spans="1:8" s="2" customFormat="1" ht="26.25" customHeight="1">
      <c r="A35" s="13" t="s">
        <v>26</v>
      </c>
      <c r="B35" s="119" t="s">
        <v>126</v>
      </c>
      <c r="C35" s="11" t="s">
        <v>12</v>
      </c>
      <c r="D35" s="15">
        <v>1</v>
      </c>
      <c r="E35" s="19">
        <f>E36+E37</f>
        <v>32756</v>
      </c>
      <c r="F35" s="19">
        <v>0</v>
      </c>
      <c r="G35" s="19">
        <f>G36+G37</f>
        <v>44170.4</v>
      </c>
      <c r="H35" s="15"/>
    </row>
    <row r="36" spans="1:8" s="2" customFormat="1" ht="15">
      <c r="A36" s="158"/>
      <c r="B36" s="159" t="s">
        <v>193</v>
      </c>
      <c r="C36" s="160"/>
      <c r="D36" s="15"/>
      <c r="E36" s="19">
        <v>32756</v>
      </c>
      <c r="F36" s="19">
        <f>11375.4+39</f>
        <v>11414.4</v>
      </c>
      <c r="G36" s="19">
        <f>E36+F36</f>
        <v>44170.4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200" t="s">
        <v>122</v>
      </c>
      <c r="B38" s="201"/>
      <c r="C38" s="202"/>
      <c r="D38" s="30"/>
      <c r="E38" s="31">
        <f>E32+E35</f>
        <v>40756</v>
      </c>
      <c r="F38" s="31">
        <f>SUM(F32:F37)</f>
        <v>11414.4</v>
      </c>
      <c r="G38" s="31">
        <f>G32+G35</f>
        <v>52170.4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7" t="s">
        <v>131</v>
      </c>
      <c r="B41" s="127" t="s">
        <v>15</v>
      </c>
      <c r="C41" s="23" t="s">
        <v>12</v>
      </c>
      <c r="D41" s="22">
        <v>1</v>
      </c>
      <c r="E41" s="24">
        <v>7435.8</v>
      </c>
      <c r="F41" s="24"/>
      <c r="G41" s="24">
        <f>E41+F41</f>
        <v>7435.8</v>
      </c>
      <c r="H41" s="30"/>
    </row>
    <row r="42" spans="1:7" s="35" customFormat="1" ht="28.5">
      <c r="A42" s="39" t="s">
        <v>132</v>
      </c>
      <c r="B42" s="135" t="s">
        <v>34</v>
      </c>
      <c r="C42" s="34" t="s">
        <v>12</v>
      </c>
      <c r="D42" s="148">
        <v>1</v>
      </c>
      <c r="E42" s="149"/>
      <c r="F42" s="150"/>
      <c r="G42" s="24">
        <f>E42+F42</f>
        <v>0</v>
      </c>
    </row>
    <row r="43" spans="1:8" s="2" customFormat="1" ht="15">
      <c r="A43" s="151"/>
      <c r="B43" s="152" t="s">
        <v>123</v>
      </c>
      <c r="C43" s="153"/>
      <c r="D43" s="154"/>
      <c r="E43" s="155">
        <f>E29+E38+E41+E42</f>
        <v>97364.27</v>
      </c>
      <c r="F43" s="155">
        <f>F29+F38+F41+F42</f>
        <v>12014.4</v>
      </c>
      <c r="G43" s="155">
        <f>G29+G38+G41+G42</f>
        <v>109378.67</v>
      </c>
      <c r="H43" s="30"/>
    </row>
    <row r="44" spans="1:7" s="33" customFormat="1" ht="15" customHeight="1">
      <c r="A44" s="190" t="s">
        <v>103</v>
      </c>
      <c r="B44" s="191"/>
      <c r="C44" s="191"/>
      <c r="D44" s="191"/>
      <c r="E44" s="191"/>
      <c r="F44" s="191"/>
      <c r="G44" s="192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3" t="s">
        <v>30</v>
      </c>
      <c r="G45" s="194"/>
    </row>
    <row r="46" spans="1:7" s="2" customFormat="1" ht="25.5" customHeight="1">
      <c r="A46" s="13"/>
      <c r="B46" s="27" t="s">
        <v>35</v>
      </c>
      <c r="C46" s="23" t="s">
        <v>12</v>
      </c>
      <c r="D46" s="22">
        <v>1</v>
      </c>
      <c r="E46" s="24">
        <v>46086.15</v>
      </c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>
        <v>121196.12</v>
      </c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>
        <v>14424.47</v>
      </c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22">
        <v>1</v>
      </c>
      <c r="E49" s="24">
        <v>9733.19</v>
      </c>
      <c r="F49" s="24"/>
      <c r="G49" s="24"/>
    </row>
    <row r="50" spans="1:7" s="2" customFormat="1" ht="15">
      <c r="A50" s="13"/>
      <c r="B50" s="27" t="s">
        <v>39</v>
      </c>
      <c r="C50" s="23" t="s">
        <v>12</v>
      </c>
      <c r="D50" s="15">
        <v>1</v>
      </c>
      <c r="E50" s="24">
        <v>9865.81</v>
      </c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5" t="s">
        <v>40</v>
      </c>
      <c r="B52" s="196"/>
      <c r="C52" s="197"/>
      <c r="D52" s="15"/>
      <c r="E52" s="24">
        <f>SUM(E46:E51)</f>
        <v>201305.74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4" t="s">
        <v>9</v>
      </c>
      <c r="B58" s="204"/>
      <c r="C58" s="204"/>
      <c r="D58" s="204"/>
      <c r="E58" s="205">
        <f>G43+E52</f>
        <v>310684.41</v>
      </c>
      <c r="F58" s="205"/>
      <c r="G58" s="205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6" t="s">
        <v>31</v>
      </c>
      <c r="B63" s="206"/>
      <c r="E63" s="2" t="s">
        <v>10</v>
      </c>
    </row>
    <row r="64" spans="1:5" s="2" customFormat="1" ht="15">
      <c r="A64" s="206" t="s">
        <v>1</v>
      </c>
      <c r="B64" s="206"/>
      <c r="E64" s="2" t="s">
        <v>160</v>
      </c>
    </row>
    <row r="65" spans="1:5" s="2" customFormat="1" ht="30" customHeight="1">
      <c r="A65" s="181" t="s">
        <v>177</v>
      </c>
      <c r="B65" s="181"/>
      <c r="C65" s="18"/>
      <c r="E65" s="2" t="s">
        <v>161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A64:B64"/>
    <mergeCell ref="A65:B65"/>
    <mergeCell ref="A44:G44"/>
    <mergeCell ref="F45:G45"/>
    <mergeCell ref="A52:C52"/>
    <mergeCell ref="A58:D58"/>
    <mergeCell ref="E58:G58"/>
    <mergeCell ref="A63:B63"/>
    <mergeCell ref="A1:B1"/>
    <mergeCell ref="A3:E3"/>
    <mergeCell ref="A5:H5"/>
    <mergeCell ref="A6:H6"/>
    <mergeCell ref="A38:C38"/>
    <mergeCell ref="B7:H7"/>
    <mergeCell ref="B11:G11"/>
    <mergeCell ref="A29:B29"/>
    <mergeCell ref="B30:G30"/>
  </mergeCells>
  <printOptions/>
  <pageMargins left="0.22" right="0.25" top="0.34" bottom="0.58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5"/>
  <sheetViews>
    <sheetView zoomScalePageLayoutView="0" workbookViewId="0" topLeftCell="B1">
      <pane xSplit="2" ySplit="2" topLeftCell="K7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S93" sqref="S93"/>
    </sheetView>
  </sheetViews>
  <sheetFormatPr defaultColWidth="9.140625" defaultRowHeight="15"/>
  <cols>
    <col min="1" max="1" width="4.00390625" style="102" customWidth="1"/>
    <col min="2" max="2" width="41.8515625" style="102" customWidth="1"/>
    <col min="3" max="3" width="11.140625" style="102" customWidth="1"/>
    <col min="4" max="4" width="12.00390625" style="102" customWidth="1"/>
    <col min="5" max="6" width="10.8515625" style="102" bestFit="1" customWidth="1"/>
    <col min="7" max="7" width="6.7109375" style="102" customWidth="1"/>
    <col min="8" max="8" width="12.140625" style="102" bestFit="1" customWidth="1"/>
    <col min="9" max="9" width="10.8515625" style="102" bestFit="1" customWidth="1"/>
    <col min="10" max="10" width="11.57421875" style="102" customWidth="1"/>
    <col min="11" max="11" width="10.8515625" style="102" bestFit="1" customWidth="1"/>
    <col min="12" max="12" width="11.421875" style="102" bestFit="1" customWidth="1"/>
    <col min="13" max="14" width="10.8515625" style="102" bestFit="1" customWidth="1"/>
    <col min="15" max="15" width="11.140625" style="102" customWidth="1"/>
    <col min="16" max="16" width="12.00390625" style="102" bestFit="1" customWidth="1"/>
    <col min="17" max="17" width="13.57421875" style="102" bestFit="1" customWidth="1"/>
    <col min="18" max="18" width="13.00390625" style="102" bestFit="1" customWidth="1"/>
    <col min="19" max="19" width="13.140625" style="101" bestFit="1" customWidth="1"/>
    <col min="20" max="20" width="13.00390625" style="102" bestFit="1" customWidth="1"/>
    <col min="21" max="21" width="12.421875" style="102" bestFit="1" customWidth="1"/>
    <col min="22" max="22" width="10.57421875" style="102" bestFit="1" customWidth="1"/>
    <col min="23" max="23" width="9.140625" style="102" customWidth="1"/>
    <col min="24" max="24" width="11.00390625" style="102" bestFit="1" customWidth="1"/>
    <col min="25" max="25" width="9.140625" style="102" customWidth="1"/>
    <col min="26" max="26" width="10.57421875" style="102" bestFit="1" customWidth="1"/>
    <col min="27" max="16384" width="9.140625" style="102" customWidth="1"/>
  </cols>
  <sheetData>
    <row r="1" spans="2:19" s="41" customFormat="1" ht="20.25" customHeight="1">
      <c r="B1" s="185" t="s">
        <v>168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42"/>
    </row>
    <row r="2" spans="2:19" s="43" customFormat="1" ht="51">
      <c r="B2" s="44"/>
      <c r="C2" s="45" t="s">
        <v>128</v>
      </c>
      <c r="D2" s="46" t="s">
        <v>42</v>
      </c>
      <c r="E2" s="46" t="s">
        <v>43</v>
      </c>
      <c r="F2" s="46" t="s">
        <v>44</v>
      </c>
      <c r="G2" s="46" t="s">
        <v>45</v>
      </c>
      <c r="H2" s="46" t="s">
        <v>46</v>
      </c>
      <c r="I2" s="46" t="s">
        <v>47</v>
      </c>
      <c r="J2" s="46" t="s">
        <v>48</v>
      </c>
      <c r="K2" s="46" t="s">
        <v>49</v>
      </c>
      <c r="L2" s="46" t="s">
        <v>50</v>
      </c>
      <c r="M2" s="46" t="s">
        <v>51</v>
      </c>
      <c r="N2" s="46" t="s">
        <v>52</v>
      </c>
      <c r="O2" s="46" t="s">
        <v>53</v>
      </c>
      <c r="P2" s="142" t="s">
        <v>54</v>
      </c>
      <c r="Q2" s="45" t="s">
        <v>55</v>
      </c>
      <c r="R2" s="45" t="s">
        <v>56</v>
      </c>
      <c r="S2" s="47"/>
    </row>
    <row r="3" spans="2:19" s="48" customFormat="1" ht="15.75">
      <c r="B3" s="49" t="s">
        <v>57</v>
      </c>
      <c r="C3" s="50"/>
      <c r="D3" s="51"/>
      <c r="E3" s="51"/>
      <c r="F3" s="51"/>
      <c r="G3" s="51"/>
      <c r="H3" s="51"/>
      <c r="I3" s="51"/>
      <c r="J3" s="52"/>
      <c r="K3" s="52"/>
      <c r="L3" s="52"/>
      <c r="M3" s="52"/>
      <c r="N3" s="52"/>
      <c r="O3" s="52"/>
      <c r="P3" s="52"/>
      <c r="Q3" s="53"/>
      <c r="S3" s="54"/>
    </row>
    <row r="4" spans="2:19" s="55" customFormat="1" ht="15.75">
      <c r="B4" s="56" t="s">
        <v>108</v>
      </c>
      <c r="C4" s="57"/>
      <c r="D4" s="57"/>
      <c r="E4" s="57"/>
      <c r="F4" s="57"/>
      <c r="G4" s="57"/>
      <c r="H4" s="57">
        <v>43949.73</v>
      </c>
      <c r="I4" s="57">
        <v>50507.61</v>
      </c>
      <c r="J4" s="57">
        <f>53079.67-6557.88</f>
        <v>46521.79</v>
      </c>
      <c r="K4" s="57">
        <v>36889.42</v>
      </c>
      <c r="L4" s="57">
        <v>36909.61</v>
      </c>
      <c r="M4" s="57">
        <v>15875.53</v>
      </c>
      <c r="N4" s="57">
        <v>36909.61</v>
      </c>
      <c r="O4" s="57">
        <v>36909.61</v>
      </c>
      <c r="P4" s="58">
        <f aca="true" t="shared" si="0" ref="P4:P9">SUM(D4:O4)</f>
        <v>304472.91</v>
      </c>
      <c r="Q4" s="58">
        <v>227961.47</v>
      </c>
      <c r="R4" s="57">
        <f aca="true" t="shared" si="1" ref="R4:R9">C4+P4-Q4</f>
        <v>76511.43999999997</v>
      </c>
      <c r="S4" s="59"/>
    </row>
    <row r="5" spans="2:19" s="55" customFormat="1" ht="15.75">
      <c r="B5" s="56" t="s">
        <v>148</v>
      </c>
      <c r="C5" s="57"/>
      <c r="D5" s="57"/>
      <c r="E5" s="57"/>
      <c r="F5" s="57"/>
      <c r="G5" s="57"/>
      <c r="H5" s="57">
        <v>202.84</v>
      </c>
      <c r="I5" s="57">
        <f>240.69-32.08</f>
        <v>208.61</v>
      </c>
      <c r="J5" s="57">
        <v>212.94</v>
      </c>
      <c r="K5" s="57">
        <v>169.12</v>
      </c>
      <c r="L5" s="57">
        <v>169.13</v>
      </c>
      <c r="M5" s="58">
        <v>139.22</v>
      </c>
      <c r="N5" s="58">
        <v>169.13</v>
      </c>
      <c r="O5" s="58">
        <v>169.13</v>
      </c>
      <c r="P5" s="58">
        <f t="shared" si="0"/>
        <v>1440.1200000000003</v>
      </c>
      <c r="Q5" s="58">
        <v>1072.51</v>
      </c>
      <c r="R5" s="57">
        <f t="shared" si="1"/>
        <v>367.61000000000035</v>
      </c>
      <c r="S5" s="59"/>
    </row>
    <row r="6" spans="2:19" s="55" customFormat="1" ht="15.75">
      <c r="B6" s="56" t="s">
        <v>149</v>
      </c>
      <c r="C6" s="57"/>
      <c r="D6" s="57"/>
      <c r="E6" s="57"/>
      <c r="F6" s="57"/>
      <c r="G6" s="57"/>
      <c r="H6" s="57"/>
      <c r="I6" s="57">
        <v>321.97</v>
      </c>
      <c r="J6" s="57">
        <v>274.19</v>
      </c>
      <c r="K6" s="57">
        <v>272.34</v>
      </c>
      <c r="L6" s="57">
        <v>236.64</v>
      </c>
      <c r="M6" s="58">
        <v>184.48</v>
      </c>
      <c r="N6" s="57">
        <v>236.64</v>
      </c>
      <c r="O6" s="57">
        <v>236.64</v>
      </c>
      <c r="P6" s="58">
        <f t="shared" si="0"/>
        <v>1762.8999999999996</v>
      </c>
      <c r="Q6" s="58">
        <v>1315.99</v>
      </c>
      <c r="R6" s="57">
        <f t="shared" si="1"/>
        <v>446.9099999999996</v>
      </c>
      <c r="S6" s="59"/>
    </row>
    <row r="7" spans="2:19" s="55" customFormat="1" ht="15.75">
      <c r="B7" s="56" t="s">
        <v>150</v>
      </c>
      <c r="C7" s="57"/>
      <c r="D7" s="57"/>
      <c r="E7" s="57"/>
      <c r="F7" s="57"/>
      <c r="G7" s="57"/>
      <c r="H7" s="57">
        <v>574.64</v>
      </c>
      <c r="I7" s="57">
        <v>681.86</v>
      </c>
      <c r="J7" s="57">
        <f>657.74-125.64</f>
        <v>532.1</v>
      </c>
      <c r="K7" s="57">
        <v>507.13</v>
      </c>
      <c r="L7" s="57">
        <v>507.13</v>
      </c>
      <c r="M7" s="58">
        <v>393.79</v>
      </c>
      <c r="N7" s="58">
        <v>507.13</v>
      </c>
      <c r="O7" s="58">
        <v>507.13</v>
      </c>
      <c r="P7" s="58">
        <f t="shared" si="0"/>
        <v>4210.91</v>
      </c>
      <c r="Q7" s="58">
        <v>3119.09</v>
      </c>
      <c r="R7" s="57">
        <f t="shared" si="1"/>
        <v>1091.8199999999997</v>
      </c>
      <c r="S7" s="59"/>
    </row>
    <row r="8" spans="2:19" s="55" customFormat="1" ht="15.75">
      <c r="B8" s="56" t="s">
        <v>151</v>
      </c>
      <c r="C8" s="57"/>
      <c r="D8" s="57"/>
      <c r="E8" s="57"/>
      <c r="F8" s="57"/>
      <c r="G8" s="57"/>
      <c r="H8" s="57">
        <v>2704</v>
      </c>
      <c r="I8" s="57">
        <v>11397.29</v>
      </c>
      <c r="J8" s="57">
        <v>3480.06</v>
      </c>
      <c r="K8" s="57">
        <v>6541.13</v>
      </c>
      <c r="L8" s="57">
        <v>6591.13</v>
      </c>
      <c r="M8" s="58">
        <v>-8271.3</v>
      </c>
      <c r="N8" s="58">
        <v>2873.13</v>
      </c>
      <c r="O8" s="58">
        <v>-2078.28</v>
      </c>
      <c r="P8" s="58">
        <f t="shared" si="0"/>
        <v>23237.160000000007</v>
      </c>
      <c r="Q8" s="58">
        <v>25528.94</v>
      </c>
      <c r="R8" s="57">
        <f t="shared" si="1"/>
        <v>-2291.7799999999916</v>
      </c>
      <c r="S8" s="59"/>
    </row>
    <row r="9" spans="2:19" s="55" customFormat="1" ht="15.75">
      <c r="B9" s="56" t="s">
        <v>130</v>
      </c>
      <c r="C9" s="57"/>
      <c r="D9" s="57"/>
      <c r="E9" s="57"/>
      <c r="F9" s="57"/>
      <c r="G9" s="57"/>
      <c r="H9" s="57">
        <v>10061.75</v>
      </c>
      <c r="I9" s="57">
        <v>10061.75</v>
      </c>
      <c r="J9" s="57">
        <v>7106.57</v>
      </c>
      <c r="K9" s="57">
        <v>8450</v>
      </c>
      <c r="L9" s="57">
        <v>8450</v>
      </c>
      <c r="M9" s="58">
        <v>7453.15</v>
      </c>
      <c r="N9" s="58">
        <v>8450</v>
      </c>
      <c r="O9" s="58">
        <v>8450</v>
      </c>
      <c r="P9" s="58">
        <f t="shared" si="0"/>
        <v>68483.22</v>
      </c>
      <c r="Q9" s="58">
        <v>51071.32</v>
      </c>
      <c r="R9" s="57">
        <f t="shared" si="1"/>
        <v>17411.9</v>
      </c>
      <c r="S9" s="59"/>
    </row>
    <row r="10" spans="2:19" s="55" customFormat="1" ht="15.75">
      <c r="B10" s="56" t="s">
        <v>162</v>
      </c>
      <c r="C10" s="57"/>
      <c r="D10" s="57"/>
      <c r="E10" s="57"/>
      <c r="F10" s="57"/>
      <c r="G10" s="57"/>
      <c r="H10" s="57">
        <v>3219.76</v>
      </c>
      <c r="I10" s="57">
        <v>3066</v>
      </c>
      <c r="J10" s="57">
        <v>2197.22</v>
      </c>
      <c r="K10" s="57">
        <v>2704</v>
      </c>
      <c r="L10" s="57">
        <v>2704</v>
      </c>
      <c r="M10" s="57">
        <v>2615.65</v>
      </c>
      <c r="N10" s="57">
        <v>2704</v>
      </c>
      <c r="O10" s="57">
        <v>-5344.16</v>
      </c>
      <c r="P10" s="58">
        <f aca="true" t="shared" si="2" ref="P10:P33">SUM(D10:O10)</f>
        <v>13866.470000000001</v>
      </c>
      <c r="Q10" s="58">
        <v>15999.03</v>
      </c>
      <c r="R10" s="57">
        <f aca="true" t="shared" si="3" ref="R10:R33">C10+P10-Q10</f>
        <v>-2132.5599999999995</v>
      </c>
      <c r="S10" s="59"/>
    </row>
    <row r="11" spans="2:19" s="55" customFormat="1" ht="15.75">
      <c r="B11" s="56" t="s">
        <v>107</v>
      </c>
      <c r="C11" s="57"/>
      <c r="D11" s="57"/>
      <c r="E11" s="57"/>
      <c r="F11" s="57"/>
      <c r="G11" s="57"/>
      <c r="H11" s="57">
        <v>7436</v>
      </c>
      <c r="I11" s="57">
        <v>7436</v>
      </c>
      <c r="J11" s="57">
        <v>7435.9</v>
      </c>
      <c r="K11" s="57">
        <v>7436</v>
      </c>
      <c r="L11" s="57">
        <v>7436</v>
      </c>
      <c r="M11" s="57">
        <v>7436</v>
      </c>
      <c r="N11" s="57">
        <v>7436</v>
      </c>
      <c r="O11" s="57">
        <v>7436</v>
      </c>
      <c r="P11" s="58">
        <f t="shared" si="2"/>
        <v>59487.9</v>
      </c>
      <c r="Q11" s="58">
        <v>44329.48</v>
      </c>
      <c r="R11" s="57">
        <f t="shared" si="3"/>
        <v>15158.419999999998</v>
      </c>
      <c r="S11" s="59"/>
    </row>
    <row r="12" spans="2:19" s="55" customFormat="1" ht="15.75">
      <c r="B12" s="56" t="s">
        <v>59</v>
      </c>
      <c r="C12" s="57"/>
      <c r="D12" s="57"/>
      <c r="E12" s="57"/>
      <c r="F12" s="57"/>
      <c r="G12" s="57"/>
      <c r="H12" s="57">
        <v>2322</v>
      </c>
      <c r="I12" s="57">
        <v>2322</v>
      </c>
      <c r="J12" s="57">
        <v>2321.96</v>
      </c>
      <c r="K12" s="57">
        <v>2322</v>
      </c>
      <c r="L12" s="57">
        <v>2322</v>
      </c>
      <c r="M12" s="57">
        <v>2322</v>
      </c>
      <c r="N12" s="57">
        <v>2322</v>
      </c>
      <c r="O12" s="57">
        <v>2322</v>
      </c>
      <c r="P12" s="58">
        <f t="shared" si="2"/>
        <v>18575.96</v>
      </c>
      <c r="Q12" s="58">
        <v>13984.53</v>
      </c>
      <c r="R12" s="57">
        <f t="shared" si="3"/>
        <v>4591.4299999999985</v>
      </c>
      <c r="S12" s="59"/>
    </row>
    <row r="13" spans="2:21" s="55" customFormat="1" ht="15.75">
      <c r="B13" s="141" t="s">
        <v>189</v>
      </c>
      <c r="C13" s="57"/>
      <c r="D13" s="57"/>
      <c r="E13" s="57"/>
      <c r="F13" s="57"/>
      <c r="G13" s="57"/>
      <c r="H13" s="57">
        <v>1520</v>
      </c>
      <c r="I13" s="57">
        <v>1520</v>
      </c>
      <c r="J13" s="57">
        <v>1520</v>
      </c>
      <c r="K13" s="57">
        <v>1520</v>
      </c>
      <c r="L13" s="57">
        <v>1520</v>
      </c>
      <c r="M13" s="57">
        <v>1520</v>
      </c>
      <c r="N13" s="57">
        <v>1520</v>
      </c>
      <c r="O13" s="57">
        <v>1520</v>
      </c>
      <c r="P13" s="58">
        <f t="shared" si="2"/>
        <v>12160</v>
      </c>
      <c r="Q13" s="57">
        <v>7600</v>
      </c>
      <c r="R13" s="57">
        <f t="shared" si="3"/>
        <v>4560</v>
      </c>
      <c r="S13" s="59"/>
      <c r="U13" s="59"/>
    </row>
    <row r="14" spans="2:21" s="55" customFormat="1" ht="15.75">
      <c r="B14" s="141" t="s">
        <v>60</v>
      </c>
      <c r="C14" s="57"/>
      <c r="D14" s="57"/>
      <c r="E14" s="57"/>
      <c r="F14" s="57"/>
      <c r="G14" s="57"/>
      <c r="H14" s="57">
        <v>572</v>
      </c>
      <c r="I14" s="57">
        <v>572</v>
      </c>
      <c r="J14" s="57">
        <v>572</v>
      </c>
      <c r="K14" s="57">
        <v>572</v>
      </c>
      <c r="L14" s="57">
        <v>572</v>
      </c>
      <c r="M14" s="57">
        <v>2087</v>
      </c>
      <c r="N14" s="57">
        <v>2087</v>
      </c>
      <c r="O14" s="57">
        <v>2088</v>
      </c>
      <c r="P14" s="58">
        <f t="shared" si="2"/>
        <v>9122</v>
      </c>
      <c r="Q14" s="57">
        <v>4481</v>
      </c>
      <c r="R14" s="57">
        <f t="shared" si="3"/>
        <v>4641</v>
      </c>
      <c r="S14" s="59"/>
      <c r="U14" s="59"/>
    </row>
    <row r="15" spans="2:21" s="55" customFormat="1" ht="15.75">
      <c r="B15" s="141">
        <v>0.15</v>
      </c>
      <c r="C15" s="57"/>
      <c r="D15" s="57">
        <f>-D13*15%</f>
        <v>0</v>
      </c>
      <c r="E15" s="57">
        <f aca="true" t="shared" si="4" ref="E15:N15">-E13*15%</f>
        <v>0</v>
      </c>
      <c r="F15" s="57">
        <f t="shared" si="4"/>
        <v>0</v>
      </c>
      <c r="G15" s="57">
        <f t="shared" si="4"/>
        <v>0</v>
      </c>
      <c r="H15" s="57">
        <f>-(H13+H14)*15%</f>
        <v>-313.8</v>
      </c>
      <c r="I15" s="57">
        <f t="shared" si="4"/>
        <v>-228</v>
      </c>
      <c r="J15" s="57">
        <f t="shared" si="4"/>
        <v>-228</v>
      </c>
      <c r="K15" s="57">
        <f t="shared" si="4"/>
        <v>-228</v>
      </c>
      <c r="L15" s="57">
        <f t="shared" si="4"/>
        <v>-228</v>
      </c>
      <c r="M15" s="57">
        <f t="shared" si="4"/>
        <v>-228</v>
      </c>
      <c r="N15" s="57">
        <f t="shared" si="4"/>
        <v>-228</v>
      </c>
      <c r="O15" s="57">
        <f>-O13*15%</f>
        <v>-228</v>
      </c>
      <c r="P15" s="58">
        <f t="shared" si="2"/>
        <v>-1909.8</v>
      </c>
      <c r="Q15" s="57"/>
      <c r="R15" s="57">
        <f t="shared" si="3"/>
        <v>-1909.8</v>
      </c>
      <c r="S15" s="59"/>
      <c r="U15" s="59"/>
    </row>
    <row r="16" spans="2:21" s="55" customFormat="1" ht="15.75">
      <c r="B16" s="141" t="s">
        <v>156</v>
      </c>
      <c r="C16" s="57"/>
      <c r="D16" s="57"/>
      <c r="E16" s="57"/>
      <c r="F16" s="57"/>
      <c r="G16" s="57"/>
      <c r="H16" s="57">
        <v>694.24</v>
      </c>
      <c r="I16" s="57">
        <v>870.81</v>
      </c>
      <c r="J16" s="57">
        <v>814.11</v>
      </c>
      <c r="K16" s="57">
        <v>766.59</v>
      </c>
      <c r="L16" s="57">
        <v>766.59</v>
      </c>
      <c r="M16" s="57">
        <v>640.42</v>
      </c>
      <c r="N16" s="57">
        <v>640.42</v>
      </c>
      <c r="O16" s="57">
        <v>633.26</v>
      </c>
      <c r="P16" s="58">
        <f t="shared" si="2"/>
        <v>5826.4400000000005</v>
      </c>
      <c r="Q16" s="57">
        <v>3771.52</v>
      </c>
      <c r="R16" s="57">
        <f t="shared" si="3"/>
        <v>2054.9200000000005</v>
      </c>
      <c r="S16" s="59"/>
      <c r="U16" s="59"/>
    </row>
    <row r="17" spans="2:21" s="55" customFormat="1" ht="15.75">
      <c r="B17" s="141" t="s">
        <v>147</v>
      </c>
      <c r="C17" s="57"/>
      <c r="D17" s="57"/>
      <c r="E17" s="57"/>
      <c r="F17" s="57"/>
      <c r="G17" s="57"/>
      <c r="H17" s="57">
        <v>10998.59</v>
      </c>
      <c r="I17" s="57">
        <v>10998</v>
      </c>
      <c r="J17" s="57">
        <v>10998</v>
      </c>
      <c r="K17" s="57">
        <v>10998</v>
      </c>
      <c r="L17" s="57">
        <v>10998</v>
      </c>
      <c r="M17" s="57">
        <v>10998</v>
      </c>
      <c r="N17" s="57">
        <v>10998</v>
      </c>
      <c r="O17" s="57">
        <v>10998</v>
      </c>
      <c r="P17" s="58">
        <f t="shared" si="2"/>
        <v>87984.59</v>
      </c>
      <c r="Q17" s="57">
        <v>68053.55</v>
      </c>
      <c r="R17" s="57">
        <f t="shared" si="3"/>
        <v>19931.039999999994</v>
      </c>
      <c r="S17" s="59"/>
      <c r="U17" s="59"/>
    </row>
    <row r="18" spans="2:19" s="60" customFormat="1" ht="15.75">
      <c r="B18" s="61" t="s">
        <v>105</v>
      </c>
      <c r="C18" s="62">
        <f>SUM(C4:C17)</f>
        <v>0</v>
      </c>
      <c r="D18" s="62">
        <f aca="true" t="shared" si="5" ref="D18:N18">SUM(D4:D17)</f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62">
        <f t="shared" si="5"/>
        <v>83941.75</v>
      </c>
      <c r="I18" s="62">
        <f t="shared" si="5"/>
        <v>99735.9</v>
      </c>
      <c r="J18" s="62">
        <f t="shared" si="5"/>
        <v>83758.84000000001</v>
      </c>
      <c r="K18" s="62">
        <f t="shared" si="5"/>
        <v>78919.72999999998</v>
      </c>
      <c r="L18" s="62">
        <f t="shared" si="5"/>
        <v>78954.22999999998</v>
      </c>
      <c r="M18" s="62">
        <f t="shared" si="5"/>
        <v>43165.94</v>
      </c>
      <c r="N18" s="62">
        <f t="shared" si="5"/>
        <v>76625.06</v>
      </c>
      <c r="O18" s="62">
        <f>SUM(O4:O17)</f>
        <v>63619.329999999994</v>
      </c>
      <c r="P18" s="65">
        <f t="shared" si="2"/>
        <v>608720.7799999999</v>
      </c>
      <c r="Q18" s="62">
        <f>SUM(Q4:Q17)</f>
        <v>468288.43000000005</v>
      </c>
      <c r="R18" s="62">
        <f t="shared" si="3"/>
        <v>140432.34999999986</v>
      </c>
      <c r="S18" s="63"/>
    </row>
    <row r="19" spans="2:19" s="55" customFormat="1" ht="15.75">
      <c r="B19" s="61"/>
      <c r="C19" s="57"/>
      <c r="D19" s="57"/>
      <c r="E19" s="57"/>
      <c r="F19" s="57"/>
      <c r="G19" s="57"/>
      <c r="H19" s="57"/>
      <c r="I19" s="57"/>
      <c r="J19" s="58"/>
      <c r="K19" s="58"/>
      <c r="L19" s="58"/>
      <c r="M19" s="58"/>
      <c r="N19" s="58"/>
      <c r="O19" s="58"/>
      <c r="P19" s="58"/>
      <c r="Q19" s="58"/>
      <c r="R19" s="57"/>
      <c r="S19" s="59"/>
    </row>
    <row r="20" spans="2:21" s="55" customFormat="1" ht="15.75">
      <c r="B20" s="183" t="s">
        <v>170</v>
      </c>
      <c r="C20" s="184"/>
      <c r="D20" s="67"/>
      <c r="E20" s="67"/>
      <c r="F20" s="67"/>
      <c r="G20" s="67"/>
      <c r="H20" s="67"/>
      <c r="I20" s="67"/>
      <c r="J20" s="68"/>
      <c r="K20" s="68"/>
      <c r="L20" s="68"/>
      <c r="M20" s="68"/>
      <c r="N20" s="68"/>
      <c r="O20" s="68"/>
      <c r="P20" s="58"/>
      <c r="Q20" s="68"/>
      <c r="R20" s="57"/>
      <c r="S20" s="69"/>
      <c r="T20" s="70"/>
      <c r="U20" s="70">
        <f>24.93-23.25</f>
        <v>1.6799999999999997</v>
      </c>
    </row>
    <row r="21" spans="2:19" s="55" customFormat="1" ht="15.75">
      <c r="B21" s="56" t="s">
        <v>38</v>
      </c>
      <c r="C21" s="57"/>
      <c r="D21" s="57"/>
      <c r="E21" s="57"/>
      <c r="F21" s="57"/>
      <c r="G21" s="57"/>
      <c r="H21" s="57">
        <v>8626.34</v>
      </c>
      <c r="I21" s="57">
        <v>9568.81</v>
      </c>
      <c r="J21" s="58">
        <v>9541.74</v>
      </c>
      <c r="K21" s="58">
        <f>6288.95+50</f>
        <v>6338.95</v>
      </c>
      <c r="L21" s="58">
        <v>8328.34</v>
      </c>
      <c r="M21" s="58">
        <v>7835.17</v>
      </c>
      <c r="N21" s="58">
        <v>10104.85</v>
      </c>
      <c r="O21" s="58">
        <v>10504.64</v>
      </c>
      <c r="P21" s="58">
        <f t="shared" si="2"/>
        <v>70848.84</v>
      </c>
      <c r="Q21" s="58">
        <v>49585.87</v>
      </c>
      <c r="R21" s="57">
        <f t="shared" si="3"/>
        <v>21262.969999999994</v>
      </c>
      <c r="S21" s="59"/>
    </row>
    <row r="22" spans="2:19" s="55" customFormat="1" ht="15.75">
      <c r="B22" s="56" t="s">
        <v>39</v>
      </c>
      <c r="C22" s="57"/>
      <c r="D22" s="57"/>
      <c r="E22" s="57"/>
      <c r="F22" s="57"/>
      <c r="G22" s="57"/>
      <c r="H22" s="57">
        <v>9050.72</v>
      </c>
      <c r="I22" s="57">
        <v>10315.15</v>
      </c>
      <c r="J22" s="58">
        <v>9917.85</v>
      </c>
      <c r="K22" s="58">
        <v>6581.64</v>
      </c>
      <c r="L22" s="58">
        <v>9352.57</v>
      </c>
      <c r="M22" s="58">
        <v>8241.34</v>
      </c>
      <c r="N22" s="58">
        <v>10337.92</v>
      </c>
      <c r="O22" s="58">
        <v>10398.74</v>
      </c>
      <c r="P22" s="58">
        <f t="shared" si="2"/>
        <v>74195.93000000001</v>
      </c>
      <c r="Q22" s="58">
        <v>51418.75</v>
      </c>
      <c r="R22" s="57">
        <f t="shared" si="3"/>
        <v>22777.180000000008</v>
      </c>
      <c r="S22" s="59"/>
    </row>
    <row r="23" spans="2:19" s="55" customFormat="1" ht="15.75">
      <c r="B23" s="56" t="s">
        <v>35</v>
      </c>
      <c r="C23" s="57"/>
      <c r="D23" s="57"/>
      <c r="E23" s="57"/>
      <c r="F23" s="57"/>
      <c r="G23" s="57"/>
      <c r="H23" s="57">
        <v>16262.56</v>
      </c>
      <c r="I23" s="57">
        <v>22661.5</v>
      </c>
      <c r="J23" s="58">
        <v>50854.5</v>
      </c>
      <c r="K23" s="58">
        <f>50+16949.25</f>
        <v>16999.25</v>
      </c>
      <c r="L23" s="58">
        <v>16540</v>
      </c>
      <c r="M23" s="58">
        <v>-7986.45</v>
      </c>
      <c r="N23" s="58">
        <v>22355.32</v>
      </c>
      <c r="O23" s="58">
        <v>22779.61</v>
      </c>
      <c r="P23" s="58">
        <f t="shared" si="2"/>
        <v>160466.28999999998</v>
      </c>
      <c r="Q23" s="58">
        <v>120087.11</v>
      </c>
      <c r="R23" s="57">
        <f t="shared" si="3"/>
        <v>40379.17999999998</v>
      </c>
      <c r="S23" s="59"/>
    </row>
    <row r="24" spans="2:19" s="55" customFormat="1" ht="15.75">
      <c r="B24" s="56" t="s">
        <v>68</v>
      </c>
      <c r="C24" s="57"/>
      <c r="D24" s="57"/>
      <c r="E24" s="57"/>
      <c r="F24" s="57"/>
      <c r="G24" s="57"/>
      <c r="H24" s="57">
        <v>39599.93</v>
      </c>
      <c r="I24" s="57"/>
      <c r="J24" s="57">
        <v>7613.35</v>
      </c>
      <c r="K24" s="57"/>
      <c r="L24" s="57">
        <v>6067.15</v>
      </c>
      <c r="M24" s="57">
        <v>49138.19</v>
      </c>
      <c r="N24" s="58">
        <v>57407.12</v>
      </c>
      <c r="O24" s="58">
        <v>107656.48</v>
      </c>
      <c r="P24" s="58">
        <f t="shared" si="2"/>
        <v>267482.22</v>
      </c>
      <c r="Q24" s="58">
        <v>127721.93</v>
      </c>
      <c r="R24" s="57">
        <f t="shared" si="3"/>
        <v>139760.28999999998</v>
      </c>
      <c r="S24" s="59"/>
    </row>
    <row r="25" spans="2:19" s="55" customFormat="1" ht="15.75">
      <c r="B25" s="56" t="s">
        <v>37</v>
      </c>
      <c r="C25" s="57"/>
      <c r="D25" s="57"/>
      <c r="E25" s="57"/>
      <c r="F25" s="57"/>
      <c r="G25" s="57"/>
      <c r="H25" s="57">
        <v>14892.92</v>
      </c>
      <c r="I25" s="57">
        <v>17054.72</v>
      </c>
      <c r="J25" s="58">
        <v>16217.43</v>
      </c>
      <c r="K25" s="58">
        <v>11155.62</v>
      </c>
      <c r="L25" s="58">
        <v>16757.41</v>
      </c>
      <c r="M25" s="58">
        <v>12507.01</v>
      </c>
      <c r="N25" s="58">
        <v>15829.6</v>
      </c>
      <c r="O25" s="58">
        <v>14936.94</v>
      </c>
      <c r="P25" s="58">
        <f t="shared" si="2"/>
        <v>119351.65000000001</v>
      </c>
      <c r="Q25" s="58">
        <v>87351.23</v>
      </c>
      <c r="R25" s="57">
        <f t="shared" si="3"/>
        <v>32000.420000000013</v>
      </c>
      <c r="S25" s="59"/>
    </row>
    <row r="26" spans="2:19" s="60" customFormat="1" ht="16.5" customHeight="1">
      <c r="B26" s="61" t="s">
        <v>188</v>
      </c>
      <c r="C26" s="62">
        <f aca="true" t="shared" si="6" ref="C26:H26">C27+C28+C29+C30+C31</f>
        <v>0</v>
      </c>
      <c r="D26" s="62">
        <f t="shared" si="6"/>
        <v>0</v>
      </c>
      <c r="E26" s="62">
        <f t="shared" si="6"/>
        <v>0</v>
      </c>
      <c r="F26" s="62">
        <f t="shared" si="6"/>
        <v>0</v>
      </c>
      <c r="G26" s="62">
        <f t="shared" si="6"/>
        <v>0</v>
      </c>
      <c r="H26" s="62">
        <f t="shared" si="6"/>
        <v>20867.44</v>
      </c>
      <c r="I26" s="62">
        <f aca="true" t="shared" si="7" ref="I26:O26">I27+I28+I29+I30+I31</f>
        <v>10012.21</v>
      </c>
      <c r="J26" s="62">
        <f t="shared" si="7"/>
        <v>14366.37</v>
      </c>
      <c r="K26" s="62">
        <f t="shared" si="7"/>
        <v>16234.59</v>
      </c>
      <c r="L26" s="62">
        <f t="shared" si="7"/>
        <v>13101.260000000002</v>
      </c>
      <c r="M26" s="62">
        <f t="shared" si="7"/>
        <v>29690.93</v>
      </c>
      <c r="N26" s="62">
        <f t="shared" si="7"/>
        <v>34872.15</v>
      </c>
      <c r="O26" s="62">
        <f t="shared" si="7"/>
        <v>46605.490000000005</v>
      </c>
      <c r="P26" s="65">
        <f t="shared" si="2"/>
        <v>185750.44</v>
      </c>
      <c r="Q26" s="62">
        <f>Q27+Q28+Q29+Q30+Q31</f>
        <v>98267.65</v>
      </c>
      <c r="R26" s="62">
        <f t="shared" si="3"/>
        <v>87482.79000000001</v>
      </c>
      <c r="S26" s="63"/>
    </row>
    <row r="27" spans="2:19" s="55" customFormat="1" ht="16.5" customHeight="1">
      <c r="B27" s="56" t="s">
        <v>38</v>
      </c>
      <c r="C27" s="57"/>
      <c r="D27" s="57"/>
      <c r="E27" s="57"/>
      <c r="F27" s="57"/>
      <c r="G27" s="57"/>
      <c r="H27" s="57">
        <v>469.62</v>
      </c>
      <c r="I27" s="57">
        <v>495.71</v>
      </c>
      <c r="J27" s="58">
        <v>619.96</v>
      </c>
      <c r="K27" s="58">
        <v>648.14</v>
      </c>
      <c r="L27" s="58">
        <v>507.24</v>
      </c>
      <c r="M27" s="58">
        <v>591.78</v>
      </c>
      <c r="N27" s="58">
        <v>817.22</v>
      </c>
      <c r="O27" s="58">
        <v>479.06</v>
      </c>
      <c r="P27" s="58">
        <f t="shared" si="2"/>
        <v>4628.7300000000005</v>
      </c>
      <c r="Q27" s="58">
        <v>1573.9</v>
      </c>
      <c r="R27" s="57">
        <f t="shared" si="3"/>
        <v>3054.8300000000004</v>
      </c>
      <c r="S27" s="59"/>
    </row>
    <row r="28" spans="2:19" s="55" customFormat="1" ht="16.5" customHeight="1">
      <c r="B28" s="56" t="s">
        <v>39</v>
      </c>
      <c r="C28" s="57"/>
      <c r="D28" s="57"/>
      <c r="E28" s="57"/>
      <c r="F28" s="57"/>
      <c r="G28" s="57"/>
      <c r="H28" s="57">
        <v>448.47</v>
      </c>
      <c r="I28" s="57">
        <v>415.25</v>
      </c>
      <c r="J28" s="58">
        <v>556.45</v>
      </c>
      <c r="K28" s="58">
        <v>574.4</v>
      </c>
      <c r="L28" s="58">
        <v>502.6</v>
      </c>
      <c r="M28" s="58">
        <v>538.5</v>
      </c>
      <c r="N28" s="58">
        <v>753.9</v>
      </c>
      <c r="O28" s="58">
        <v>412.85</v>
      </c>
      <c r="P28" s="58">
        <f t="shared" si="2"/>
        <v>4202.42</v>
      </c>
      <c r="Q28" s="58">
        <v>1342.23</v>
      </c>
      <c r="R28" s="57">
        <f t="shared" si="3"/>
        <v>2860.19</v>
      </c>
      <c r="S28" s="59"/>
    </row>
    <row r="29" spans="2:19" s="55" customFormat="1" ht="16.5" customHeight="1">
      <c r="B29" s="56" t="s">
        <v>37</v>
      </c>
      <c r="C29" s="57"/>
      <c r="D29" s="57"/>
      <c r="E29" s="57"/>
      <c r="F29" s="57"/>
      <c r="G29" s="57"/>
      <c r="H29" s="57">
        <v>919.26</v>
      </c>
      <c r="I29" s="57">
        <v>612.84</v>
      </c>
      <c r="J29" s="58">
        <v>952.2</v>
      </c>
      <c r="K29" s="58">
        <v>952.2</v>
      </c>
      <c r="L29" s="58">
        <v>1058</v>
      </c>
      <c r="M29" s="58">
        <v>952.2</v>
      </c>
      <c r="N29" s="58">
        <v>1375.4</v>
      </c>
      <c r="O29" s="58">
        <v>1058</v>
      </c>
      <c r="P29" s="58">
        <f t="shared" si="2"/>
        <v>7880.1</v>
      </c>
      <c r="Q29" s="58">
        <v>4735.38</v>
      </c>
      <c r="R29" s="57">
        <f t="shared" si="3"/>
        <v>3144.7200000000003</v>
      </c>
      <c r="S29" s="59"/>
    </row>
    <row r="30" spans="2:19" s="55" customFormat="1" ht="16.5" customHeight="1">
      <c r="B30" s="56" t="s">
        <v>68</v>
      </c>
      <c r="C30" s="57"/>
      <c r="D30" s="57"/>
      <c r="E30" s="57"/>
      <c r="F30" s="57"/>
      <c r="G30" s="57"/>
      <c r="H30" s="57">
        <v>9591.46</v>
      </c>
      <c r="I30" s="57"/>
      <c r="J30" s="58"/>
      <c r="K30" s="58"/>
      <c r="L30" s="58">
        <v>1245.13</v>
      </c>
      <c r="M30" s="58">
        <v>15240.25</v>
      </c>
      <c r="N30" s="58">
        <v>20954.18</v>
      </c>
      <c r="O30" s="58">
        <v>30904.9</v>
      </c>
      <c r="P30" s="58">
        <f t="shared" si="2"/>
        <v>77935.92000000001</v>
      </c>
      <c r="Q30" s="58">
        <v>28549.66</v>
      </c>
      <c r="R30" s="57">
        <f t="shared" si="3"/>
        <v>49386.26000000001</v>
      </c>
      <c r="S30" s="59"/>
    </row>
    <row r="31" spans="2:19" s="55" customFormat="1" ht="16.5" customHeight="1">
      <c r="B31" s="56" t="s">
        <v>35</v>
      </c>
      <c r="C31" s="57"/>
      <c r="D31" s="57"/>
      <c r="E31" s="57"/>
      <c r="F31" s="57"/>
      <c r="G31" s="57"/>
      <c r="H31" s="57">
        <v>9438.63</v>
      </c>
      <c r="I31" s="57">
        <v>8488.41</v>
      </c>
      <c r="J31" s="58">
        <v>12237.76</v>
      </c>
      <c r="K31" s="58">
        <v>14059.85</v>
      </c>
      <c r="L31" s="58">
        <v>9788.29</v>
      </c>
      <c r="M31" s="58">
        <v>12368.2</v>
      </c>
      <c r="N31" s="58">
        <v>10971.45</v>
      </c>
      <c r="O31" s="58">
        <v>13750.68</v>
      </c>
      <c r="P31" s="58">
        <f t="shared" si="2"/>
        <v>91103.26999999999</v>
      </c>
      <c r="Q31" s="58">
        <v>62066.48</v>
      </c>
      <c r="R31" s="57">
        <f t="shared" si="3"/>
        <v>29036.789999999986</v>
      </c>
      <c r="S31" s="59"/>
    </row>
    <row r="32" spans="2:19" s="60" customFormat="1" ht="15.75">
      <c r="B32" s="61" t="s">
        <v>72</v>
      </c>
      <c r="C32" s="62">
        <f>C21+C22+C23+C24+C25+C26</f>
        <v>0</v>
      </c>
      <c r="D32" s="62">
        <f aca="true" t="shared" si="8" ref="D32:I32">D21+D22+D23+D24+D25+D26</f>
        <v>0</v>
      </c>
      <c r="E32" s="62">
        <f t="shared" si="8"/>
        <v>0</v>
      </c>
      <c r="F32" s="62">
        <f t="shared" si="8"/>
        <v>0</v>
      </c>
      <c r="G32" s="62">
        <f t="shared" si="8"/>
        <v>0</v>
      </c>
      <c r="H32" s="62">
        <f t="shared" si="8"/>
        <v>109299.90999999999</v>
      </c>
      <c r="I32" s="62">
        <f t="shared" si="8"/>
        <v>69612.39</v>
      </c>
      <c r="J32" s="62">
        <f>J21+J22+J23+J24+J25+J26</f>
        <v>108511.23999999999</v>
      </c>
      <c r="K32" s="62">
        <f aca="true" t="shared" si="9" ref="K32:Q32">K21+K22+K23+K24+K25+K26</f>
        <v>57310.05</v>
      </c>
      <c r="L32" s="62">
        <f t="shared" si="9"/>
        <v>70146.73000000001</v>
      </c>
      <c r="M32" s="62">
        <f t="shared" si="9"/>
        <v>99426.19</v>
      </c>
      <c r="N32" s="62">
        <f t="shared" si="9"/>
        <v>150906.96</v>
      </c>
      <c r="O32" s="62">
        <f t="shared" si="9"/>
        <v>212881.90000000002</v>
      </c>
      <c r="P32" s="65">
        <f t="shared" si="2"/>
        <v>878095.37</v>
      </c>
      <c r="Q32" s="62">
        <f t="shared" si="9"/>
        <v>534432.5399999999</v>
      </c>
      <c r="R32" s="62">
        <f t="shared" si="3"/>
        <v>343662.8300000001</v>
      </c>
      <c r="S32" s="63"/>
    </row>
    <row r="33" spans="2:19" s="60" customFormat="1" ht="15.75">
      <c r="B33" s="61" t="s">
        <v>73</v>
      </c>
      <c r="C33" s="62">
        <f aca="true" t="shared" si="10" ref="C33:O33">C32+C18</f>
        <v>0</v>
      </c>
      <c r="D33" s="62">
        <f t="shared" si="10"/>
        <v>0</v>
      </c>
      <c r="E33" s="62">
        <f t="shared" si="10"/>
        <v>0</v>
      </c>
      <c r="F33" s="62">
        <f t="shared" si="10"/>
        <v>0</v>
      </c>
      <c r="G33" s="62">
        <f t="shared" si="10"/>
        <v>0</v>
      </c>
      <c r="H33" s="62">
        <f t="shared" si="10"/>
        <v>193241.65999999997</v>
      </c>
      <c r="I33" s="62">
        <f t="shared" si="10"/>
        <v>169348.28999999998</v>
      </c>
      <c r="J33" s="62">
        <f t="shared" si="10"/>
        <v>192270.08000000002</v>
      </c>
      <c r="K33" s="62">
        <f t="shared" si="10"/>
        <v>136229.77999999997</v>
      </c>
      <c r="L33" s="62">
        <f t="shared" si="10"/>
        <v>149100.96</v>
      </c>
      <c r="M33" s="62">
        <f t="shared" si="10"/>
        <v>142592.13</v>
      </c>
      <c r="N33" s="62">
        <f t="shared" si="10"/>
        <v>227532.02</v>
      </c>
      <c r="O33" s="62">
        <f t="shared" si="10"/>
        <v>276501.23000000004</v>
      </c>
      <c r="P33" s="65">
        <f t="shared" si="2"/>
        <v>1486816.15</v>
      </c>
      <c r="Q33" s="62">
        <f>Q32+Q18</f>
        <v>1002720.97</v>
      </c>
      <c r="R33" s="62">
        <f t="shared" si="3"/>
        <v>484095.17999999993</v>
      </c>
      <c r="S33" s="63"/>
    </row>
    <row r="34" spans="2:19" s="60" customFormat="1" ht="1.5" customHeight="1">
      <c r="B34" s="64" t="s">
        <v>61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 t="e">
        <f>#REF!+#REF!</f>
        <v>#REF!</v>
      </c>
      <c r="R34" s="62"/>
      <c r="S34" s="63"/>
    </row>
    <row r="35" spans="2:19" s="60" customFormat="1" ht="15.75" hidden="1">
      <c r="B35" s="64" t="s">
        <v>62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 t="e">
        <f>#REF!</f>
        <v>#REF!</v>
      </c>
      <c r="R35" s="62"/>
      <c r="S35" s="63"/>
    </row>
    <row r="36" spans="2:19" s="60" customFormat="1" ht="15.75" hidden="1">
      <c r="B36" s="66" t="s">
        <v>63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 t="e">
        <f>#REF!+#REF!</f>
        <v>#REF!</v>
      </c>
      <c r="R36" s="71"/>
      <c r="S36" s="63"/>
    </row>
    <row r="37" spans="2:19" s="60" customFormat="1" ht="15.75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63"/>
    </row>
    <row r="38" spans="1:19" s="76" customFormat="1" ht="17.25" customHeight="1">
      <c r="A38" s="74"/>
      <c r="B38" s="186" t="s">
        <v>169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8"/>
      <c r="S38" s="75"/>
    </row>
    <row r="39" spans="1:19" s="76" customFormat="1" ht="17.25" customHeight="1">
      <c r="A39" s="77"/>
      <c r="B39" s="189" t="s">
        <v>57</v>
      </c>
      <c r="C39" s="189"/>
      <c r="D39" s="78"/>
      <c r="E39" s="78"/>
      <c r="F39" s="78"/>
      <c r="G39" s="78"/>
      <c r="H39" s="78"/>
      <c r="I39" s="166"/>
      <c r="J39" s="167"/>
      <c r="K39" s="167"/>
      <c r="L39" s="79"/>
      <c r="M39" s="79"/>
      <c r="N39" s="79"/>
      <c r="O39" s="79"/>
      <c r="P39" s="79"/>
      <c r="Q39" s="75"/>
      <c r="R39" s="80"/>
      <c r="S39" s="75"/>
    </row>
    <row r="40" spans="1:19" s="84" customFormat="1" ht="51.75">
      <c r="A40" s="81" t="s">
        <v>74</v>
      </c>
      <c r="B40" s="82" t="s">
        <v>75</v>
      </c>
      <c r="C40" s="45" t="s">
        <v>128</v>
      </c>
      <c r="D40" s="46" t="s">
        <v>42</v>
      </c>
      <c r="E40" s="46" t="s">
        <v>43</v>
      </c>
      <c r="F40" s="46" t="s">
        <v>44</v>
      </c>
      <c r="G40" s="46" t="s">
        <v>45</v>
      </c>
      <c r="H40" s="46" t="s">
        <v>46</v>
      </c>
      <c r="I40" s="46" t="s">
        <v>47</v>
      </c>
      <c r="J40" s="46" t="s">
        <v>48</v>
      </c>
      <c r="K40" s="46" t="s">
        <v>49</v>
      </c>
      <c r="L40" s="46" t="s">
        <v>50</v>
      </c>
      <c r="M40" s="46" t="s">
        <v>51</v>
      </c>
      <c r="N40" s="46" t="s">
        <v>52</v>
      </c>
      <c r="O40" s="46" t="s">
        <v>53</v>
      </c>
      <c r="P40" s="46" t="s">
        <v>54</v>
      </c>
      <c r="Q40" s="45" t="s">
        <v>55</v>
      </c>
      <c r="R40" s="45" t="s">
        <v>56</v>
      </c>
      <c r="S40" s="83"/>
    </row>
    <row r="41" spans="1:21" s="89" customFormat="1" ht="14.25">
      <c r="A41" s="85">
        <v>1</v>
      </c>
      <c r="B41" s="120" t="s">
        <v>96</v>
      </c>
      <c r="C41" s="87">
        <f>C42+C45+C46+C47+C48</f>
        <v>0</v>
      </c>
      <c r="D41" s="87">
        <f>D42+D45+D46+D47+D48+D49+D50+D51+D52</f>
        <v>0</v>
      </c>
      <c r="E41" s="87">
        <f>E42+E45+E46+E47+E48+E49+E50+E51+E52</f>
        <v>0</v>
      </c>
      <c r="F41" s="87">
        <f>F42+F45+F46+F47+F48+F49+F50+F51+F52</f>
        <v>0</v>
      </c>
      <c r="G41" s="87">
        <f>G42+G45+G46+G47+G48+G49+G50+G51+G52+G53</f>
        <v>0</v>
      </c>
      <c r="H41" s="87">
        <f>H42+H45+H46+H47+H48+H49+H50+H51+H52+H53</f>
        <v>26442.67</v>
      </c>
      <c r="I41" s="87">
        <f aca="true" t="shared" si="11" ref="I41:Q41">I42+I45+I46+I47+I48+I49+I50+I51+I52+I53+I54</f>
        <v>28588.28</v>
      </c>
      <c r="J41" s="87">
        <f t="shared" si="11"/>
        <v>35725.87</v>
      </c>
      <c r="K41" s="87">
        <f t="shared" si="11"/>
        <v>36057.719999999994</v>
      </c>
      <c r="L41" s="87">
        <f t="shared" si="11"/>
        <v>28479.690000000002</v>
      </c>
      <c r="M41" s="87">
        <f t="shared" si="11"/>
        <v>28624.1</v>
      </c>
      <c r="N41" s="87">
        <f t="shared" si="11"/>
        <v>28696.319999999996</v>
      </c>
      <c r="O41" s="87">
        <f t="shared" si="11"/>
        <v>28556.69</v>
      </c>
      <c r="P41" s="87">
        <f>SUM(D41:O41)</f>
        <v>241171.34000000003</v>
      </c>
      <c r="Q41" s="87">
        <f t="shared" si="11"/>
        <v>188585.40000000002</v>
      </c>
      <c r="R41" s="125">
        <f>C41+P41-Q41</f>
        <v>52585.94</v>
      </c>
      <c r="S41" s="88"/>
      <c r="U41" s="88" t="e">
        <f>#REF!+#REF!</f>
        <v>#REF!</v>
      </c>
    </row>
    <row r="42" spans="1:21" ht="31.5" customHeight="1">
      <c r="A42" s="97"/>
      <c r="B42" s="119" t="s">
        <v>93</v>
      </c>
      <c r="C42" s="128">
        <f>C43+C44</f>
        <v>0</v>
      </c>
      <c r="D42" s="128">
        <f>D43+D44</f>
        <v>0</v>
      </c>
      <c r="E42" s="128">
        <f aca="true" t="shared" si="12" ref="E42:Q42">E43+E44</f>
        <v>0</v>
      </c>
      <c r="F42" s="128">
        <f t="shared" si="12"/>
        <v>0</v>
      </c>
      <c r="G42" s="128">
        <f t="shared" si="12"/>
        <v>0</v>
      </c>
      <c r="H42" s="128">
        <f t="shared" si="12"/>
        <v>15387.96</v>
      </c>
      <c r="I42" s="128">
        <f t="shared" si="12"/>
        <v>14979.5</v>
      </c>
      <c r="J42" s="128">
        <f t="shared" si="12"/>
        <v>14979.51</v>
      </c>
      <c r="K42" s="128">
        <f t="shared" si="12"/>
        <v>14979.509999999998</v>
      </c>
      <c r="L42" s="128">
        <f t="shared" si="12"/>
        <v>15079.51</v>
      </c>
      <c r="M42" s="128">
        <f t="shared" si="12"/>
        <v>14979.509999999998</v>
      </c>
      <c r="N42" s="128">
        <f t="shared" si="12"/>
        <v>16696.7</v>
      </c>
      <c r="O42" s="128">
        <f t="shared" si="12"/>
        <v>17503.91</v>
      </c>
      <c r="P42" s="128">
        <f t="shared" si="12"/>
        <v>124586.11</v>
      </c>
      <c r="Q42" s="128">
        <f t="shared" si="12"/>
        <v>107082.20000000001</v>
      </c>
      <c r="R42" s="122">
        <f>C42+P42-Q42</f>
        <v>17503.90999999999</v>
      </c>
      <c r="T42" s="89"/>
      <c r="U42" s="101" t="e">
        <f>#REF!+#REF!</f>
        <v>#REF!</v>
      </c>
    </row>
    <row r="43" spans="1:20" s="96" customFormat="1" ht="15">
      <c r="A43" s="90"/>
      <c r="B43" s="118" t="s">
        <v>88</v>
      </c>
      <c r="C43" s="129"/>
      <c r="D43" s="129">
        <f>январь!E13</f>
        <v>0</v>
      </c>
      <c r="E43" s="129">
        <f>февраль!E13</f>
        <v>0</v>
      </c>
      <c r="F43" s="129">
        <f>март!E13</f>
        <v>0</v>
      </c>
      <c r="G43" s="129">
        <f>апрель!E13</f>
        <v>0</v>
      </c>
      <c r="H43" s="129">
        <f>май!E13</f>
        <v>11636.21</v>
      </c>
      <c r="I43" s="129">
        <f>июнь!E13</f>
        <v>11425.05</v>
      </c>
      <c r="J43" s="91">
        <f>июль!E13</f>
        <v>11425.04</v>
      </c>
      <c r="K43" s="92">
        <f>август!E13</f>
        <v>11425.05</v>
      </c>
      <c r="L43" s="92">
        <f>сентябрь!E13</f>
        <v>11425.04</v>
      </c>
      <c r="M43" s="92">
        <f>октябрь!E13</f>
        <v>11425.05</v>
      </c>
      <c r="N43" s="92">
        <f>ноябрь!E13</f>
        <v>13142.24</v>
      </c>
      <c r="O43" s="92">
        <f>декабрь!E13</f>
        <v>13949.45</v>
      </c>
      <c r="P43" s="93">
        <f>SUM(D43:O43)</f>
        <v>95853.13</v>
      </c>
      <c r="Q43" s="94">
        <f>P43-O43</f>
        <v>81903.68000000001</v>
      </c>
      <c r="R43" s="122">
        <f>C43+P43-Q43</f>
        <v>13949.449999999997</v>
      </c>
      <c r="S43" s="95"/>
      <c r="T43" s="89"/>
    </row>
    <row r="44" spans="1:20" s="96" customFormat="1" ht="15">
      <c r="A44" s="90"/>
      <c r="B44" s="118" t="s">
        <v>89</v>
      </c>
      <c r="C44" s="129"/>
      <c r="D44" s="129">
        <f>январь!E15</f>
        <v>0</v>
      </c>
      <c r="E44" s="129">
        <f>февраль!E15</f>
        <v>0</v>
      </c>
      <c r="F44" s="129">
        <f>март!E15</f>
        <v>0</v>
      </c>
      <c r="G44" s="129">
        <f>апрель!E15</f>
        <v>0</v>
      </c>
      <c r="H44" s="129">
        <f>май!E15</f>
        <v>3751.75</v>
      </c>
      <c r="I44" s="129">
        <f>июнь!E15</f>
        <v>3554.45</v>
      </c>
      <c r="J44" s="91">
        <f>июль!E15</f>
        <v>3554.47</v>
      </c>
      <c r="K44" s="92">
        <f>август!E16</f>
        <v>3554.46</v>
      </c>
      <c r="L44" s="92">
        <f>сентябрь!E15</f>
        <v>3654.47</v>
      </c>
      <c r="M44" s="92">
        <f>октябрь!E15</f>
        <v>3554.46</v>
      </c>
      <c r="N44" s="92">
        <f>ноябрь!E15</f>
        <v>3554.46</v>
      </c>
      <c r="O44" s="92">
        <f>декабрь!E15</f>
        <v>3554.46</v>
      </c>
      <c r="P44" s="93">
        <f>SUM(D44:O44)</f>
        <v>28732.98</v>
      </c>
      <c r="Q44" s="94">
        <f>P44-O44</f>
        <v>25178.52</v>
      </c>
      <c r="R44" s="122">
        <f>C44+P44-Q44</f>
        <v>3554.459999999999</v>
      </c>
      <c r="S44" s="95"/>
      <c r="T44" s="89"/>
    </row>
    <row r="45" spans="1:20" ht="15">
      <c r="A45" s="97"/>
      <c r="B45" s="123" t="s">
        <v>90</v>
      </c>
      <c r="C45" s="128"/>
      <c r="D45" s="128">
        <f>январь!F13+январь!F15</f>
        <v>0</v>
      </c>
      <c r="E45" s="128">
        <f>январь!F13+январь!F15</f>
        <v>0</v>
      </c>
      <c r="F45" s="128">
        <f>январь!F13+январь!F15</f>
        <v>0</v>
      </c>
      <c r="G45" s="128">
        <f>апрель!F13+апрель!F15</f>
        <v>0</v>
      </c>
      <c r="H45" s="128">
        <f>май!F13+май!F15</f>
        <v>0</v>
      </c>
      <c r="I45" s="128">
        <f>июнь!F13+июнь!F15</f>
        <v>356</v>
      </c>
      <c r="J45" s="128">
        <f>июль!F13+июль!F15</f>
        <v>698</v>
      </c>
      <c r="K45" s="128">
        <f>август!F13+август!F16</f>
        <v>378</v>
      </c>
      <c r="L45" s="128">
        <f>сентябрь!F13+сентябрь!F15</f>
        <v>382</v>
      </c>
      <c r="M45" s="128">
        <f>октябрь!F13+октябрь!F15</f>
        <v>511</v>
      </c>
      <c r="N45" s="128">
        <f>ноябрь!F13+ноябрь!F15</f>
        <v>937.35</v>
      </c>
      <c r="O45" s="128">
        <f>декабрь!F13+декабрь!F15</f>
        <v>600</v>
      </c>
      <c r="P45" s="93">
        <f>SUM(D45:O45)</f>
        <v>3862.35</v>
      </c>
      <c r="Q45" s="128">
        <f>P45</f>
        <v>3862.35</v>
      </c>
      <c r="R45" s="128">
        <f>январь!T13+январь!T15</f>
        <v>0</v>
      </c>
      <c r="T45" s="89"/>
    </row>
    <row r="46" spans="1:20" ht="15.75">
      <c r="A46" s="97"/>
      <c r="B46" s="56" t="s">
        <v>107</v>
      </c>
      <c r="C46" s="128"/>
      <c r="D46" s="128">
        <f>январь!E40</f>
        <v>0</v>
      </c>
      <c r="E46" s="128">
        <f>февраль!G40</f>
        <v>0</v>
      </c>
      <c r="F46" s="128">
        <f>март!G40</f>
        <v>0</v>
      </c>
      <c r="G46" s="128">
        <f>апрель!G41</f>
        <v>0</v>
      </c>
      <c r="H46" s="99">
        <f>май!G41</f>
        <v>7435.8</v>
      </c>
      <c r="I46" s="99">
        <f>июнь!G42</f>
        <v>7435.8</v>
      </c>
      <c r="J46" s="100">
        <f>июль!G42</f>
        <v>7435.8</v>
      </c>
      <c r="K46" s="100">
        <f>август!G42</f>
        <v>7435.8</v>
      </c>
      <c r="L46" s="100">
        <f>сентябрь!G41</f>
        <v>7435.8</v>
      </c>
      <c r="M46" s="100">
        <f>октябрь!G41</f>
        <v>7435.8</v>
      </c>
      <c r="N46" s="121">
        <f>ноябрь!G41</f>
        <v>7435.8</v>
      </c>
      <c r="O46" s="121">
        <f>декабрь!G41</f>
        <v>7435.8</v>
      </c>
      <c r="P46" s="99">
        <f aca="true" t="shared" si="13" ref="P46:P58">SUM(D46:O46)</f>
        <v>59486.40000000001</v>
      </c>
      <c r="Q46" s="100">
        <f>Q11</f>
        <v>44329.48</v>
      </c>
      <c r="R46" s="122">
        <f aca="true" t="shared" si="14" ref="R46:R54">C46+P46-Q46</f>
        <v>15156.920000000006</v>
      </c>
      <c r="T46" s="89"/>
    </row>
    <row r="47" spans="1:20" ht="15">
      <c r="A47" s="97"/>
      <c r="B47" s="123" t="s">
        <v>91</v>
      </c>
      <c r="C47" s="128"/>
      <c r="D47" s="128">
        <f>январь!E16</f>
        <v>0</v>
      </c>
      <c r="E47" s="128">
        <f>февраль!G16</f>
        <v>0</v>
      </c>
      <c r="F47" s="128">
        <f>март!G16</f>
        <v>0</v>
      </c>
      <c r="G47" s="128">
        <f>апрель!G16</f>
        <v>0</v>
      </c>
      <c r="H47" s="99">
        <f>май!G16</f>
        <v>780.98</v>
      </c>
      <c r="I47" s="99">
        <f>июнь!G16</f>
        <v>780.98</v>
      </c>
      <c r="J47" s="100">
        <f>июль!G16</f>
        <v>4849.360000000001</v>
      </c>
      <c r="K47" s="100">
        <f>август!G17</f>
        <v>780.98</v>
      </c>
      <c r="L47" s="100">
        <f>сентябрь!G16</f>
        <v>780.98</v>
      </c>
      <c r="M47" s="100">
        <f>октябрь!G16</f>
        <v>780.98</v>
      </c>
      <c r="N47" s="92">
        <f>ноябрь!G16</f>
        <v>780.98</v>
      </c>
      <c r="O47" s="121">
        <f>декабрь!G16</f>
        <v>780.98</v>
      </c>
      <c r="P47" s="99">
        <f t="shared" si="13"/>
        <v>10316.22</v>
      </c>
      <c r="Q47" s="100">
        <f>P47-O47</f>
        <v>9535.24</v>
      </c>
      <c r="R47" s="122">
        <f t="shared" si="14"/>
        <v>780.9799999999996</v>
      </c>
      <c r="T47" s="89"/>
    </row>
    <row r="48" spans="1:20" ht="15">
      <c r="A48" s="97"/>
      <c r="B48" s="123" t="s">
        <v>92</v>
      </c>
      <c r="C48" s="128"/>
      <c r="D48" s="128">
        <f>январь!E21</f>
        <v>0</v>
      </c>
      <c r="E48" s="128">
        <f>февраль!G21</f>
        <v>0</v>
      </c>
      <c r="F48" s="128">
        <f>март!G21</f>
        <v>0</v>
      </c>
      <c r="G48" s="128">
        <f>апрель!G21</f>
        <v>0</v>
      </c>
      <c r="H48" s="99">
        <f>май!G18</f>
        <v>0</v>
      </c>
      <c r="I48" s="99">
        <f>июнь!G21</f>
        <v>0</v>
      </c>
      <c r="J48" s="100">
        <f>июль!G21</f>
        <v>0</v>
      </c>
      <c r="K48" s="100">
        <f>август!G22</f>
        <v>0</v>
      </c>
      <c r="L48" s="100">
        <f>сентябрь!G21</f>
        <v>0</v>
      </c>
      <c r="M48" s="100">
        <f>октябрь!G21</f>
        <v>0</v>
      </c>
      <c r="N48" s="92">
        <f>ноябрь!G21</f>
        <v>0</v>
      </c>
      <c r="O48" s="121">
        <f>декабрь!G17</f>
        <v>0</v>
      </c>
      <c r="P48" s="99">
        <f t="shared" si="13"/>
        <v>0</v>
      </c>
      <c r="Q48" s="100">
        <f>P48-O48</f>
        <v>0</v>
      </c>
      <c r="R48" s="122">
        <f t="shared" si="14"/>
        <v>0</v>
      </c>
      <c r="T48" s="89"/>
    </row>
    <row r="49" spans="1:20" ht="15">
      <c r="A49" s="97"/>
      <c r="B49" s="171" t="s">
        <v>148</v>
      </c>
      <c r="C49" s="128"/>
      <c r="D49" s="128">
        <f>январь!E17</f>
        <v>0</v>
      </c>
      <c r="E49" s="128">
        <f>февраль!G17</f>
        <v>0</v>
      </c>
      <c r="F49" s="128">
        <f>март!G17</f>
        <v>0</v>
      </c>
      <c r="G49" s="128">
        <f>апрель!G17</f>
        <v>0</v>
      </c>
      <c r="H49" s="99"/>
      <c r="I49" s="99">
        <f>июнь!G17</f>
        <v>0</v>
      </c>
      <c r="J49" s="100">
        <f>июль!G17</f>
        <v>2727.2</v>
      </c>
      <c r="K49" s="100">
        <f>август!G18</f>
        <v>472.92</v>
      </c>
      <c r="L49" s="100">
        <f>сентябрь!G17</f>
        <v>-277.07</v>
      </c>
      <c r="M49" s="100">
        <f>октябрь!G17</f>
        <v>0</v>
      </c>
      <c r="N49" s="92">
        <f>ноябрь!G17</f>
        <v>250.12</v>
      </c>
      <c r="O49" s="121">
        <f>декабрь!G17</f>
        <v>0</v>
      </c>
      <c r="P49" s="99">
        <f t="shared" si="13"/>
        <v>3173.1699999999996</v>
      </c>
      <c r="Q49" s="100">
        <f>Q5</f>
        <v>1072.51</v>
      </c>
      <c r="R49" s="122">
        <f t="shared" si="14"/>
        <v>2100.66</v>
      </c>
      <c r="T49" s="89"/>
    </row>
    <row r="50" spans="1:20" ht="15">
      <c r="A50" s="97"/>
      <c r="B50" s="171" t="s">
        <v>149</v>
      </c>
      <c r="C50" s="128"/>
      <c r="D50" s="128">
        <f>январь!E18</f>
        <v>0</v>
      </c>
      <c r="E50" s="128">
        <f>февраль!G18</f>
        <v>0</v>
      </c>
      <c r="F50" s="128">
        <f>март!G18</f>
        <v>0</v>
      </c>
      <c r="G50" s="128">
        <f>апрель!G18</f>
        <v>0</v>
      </c>
      <c r="H50" s="99">
        <f>май!G20</f>
        <v>0</v>
      </c>
      <c r="I50" s="99">
        <f>июнь!G18</f>
        <v>0</v>
      </c>
      <c r="J50" s="100">
        <f>июль!G18</f>
        <v>0</v>
      </c>
      <c r="K50" s="100">
        <f>август!G19</f>
        <v>0</v>
      </c>
      <c r="L50" s="100">
        <f>сентябрь!G18</f>
        <v>0</v>
      </c>
      <c r="M50" s="100">
        <f>октябрь!G18</f>
        <v>0</v>
      </c>
      <c r="N50" s="92">
        <f>ноябрь!G18</f>
        <v>0</v>
      </c>
      <c r="O50" s="121">
        <f>декабрь!G18</f>
        <v>0</v>
      </c>
      <c r="P50" s="99">
        <f t="shared" si="13"/>
        <v>0</v>
      </c>
      <c r="Q50" s="100"/>
      <c r="R50" s="122">
        <f t="shared" si="14"/>
        <v>0</v>
      </c>
      <c r="T50" s="89"/>
    </row>
    <row r="51" spans="1:20" ht="15">
      <c r="A51" s="97"/>
      <c r="B51" s="171" t="s">
        <v>150</v>
      </c>
      <c r="C51" s="128"/>
      <c r="D51" s="128">
        <f>январь!E19</f>
        <v>0</v>
      </c>
      <c r="E51" s="128">
        <f>февраль!G19</f>
        <v>0</v>
      </c>
      <c r="F51" s="128">
        <f>март!G19</f>
        <v>0</v>
      </c>
      <c r="G51" s="128">
        <f>апрель!G19</f>
        <v>0</v>
      </c>
      <c r="H51" s="99">
        <v>601.93</v>
      </c>
      <c r="I51" s="99">
        <f>июнь!G19</f>
        <v>0</v>
      </c>
      <c r="J51" s="100">
        <f>июль!G19</f>
        <v>0</v>
      </c>
      <c r="K51" s="100">
        <f>август!G20</f>
        <v>9774.51</v>
      </c>
      <c r="L51" s="100">
        <f>сентябрь!G19</f>
        <v>2842.47</v>
      </c>
      <c r="M51" s="100">
        <f>октябрь!G19</f>
        <v>2680.81</v>
      </c>
      <c r="N51" s="92">
        <f>ноябрь!G19</f>
        <v>359.37</v>
      </c>
      <c r="O51" s="121">
        <f>декабрь!G19</f>
        <v>0</v>
      </c>
      <c r="P51" s="99">
        <f t="shared" si="13"/>
        <v>16259.09</v>
      </c>
      <c r="Q51" s="100">
        <f>Q7</f>
        <v>3119.09</v>
      </c>
      <c r="R51" s="122">
        <f t="shared" si="14"/>
        <v>13140</v>
      </c>
      <c r="T51" s="89"/>
    </row>
    <row r="52" spans="1:20" ht="15">
      <c r="A52" s="97"/>
      <c r="B52" s="171" t="s">
        <v>151</v>
      </c>
      <c r="C52" s="128"/>
      <c r="D52" s="128">
        <f>январь!E20</f>
        <v>0</v>
      </c>
      <c r="E52" s="128">
        <f>февраль!G20</f>
        <v>0</v>
      </c>
      <c r="F52" s="128">
        <f>март!G20</f>
        <v>0</v>
      </c>
      <c r="G52" s="128">
        <f>апрель!G20</f>
        <v>0</v>
      </c>
      <c r="H52" s="99">
        <f>май!G20</f>
        <v>0</v>
      </c>
      <c r="I52" s="99">
        <f>июнь!G20</f>
        <v>0</v>
      </c>
      <c r="J52" s="100">
        <f>июль!G20</f>
        <v>0</v>
      </c>
      <c r="K52" s="100">
        <f>август!G21</f>
        <v>0</v>
      </c>
      <c r="L52" s="100">
        <f>сентябрь!G20</f>
        <v>0</v>
      </c>
      <c r="M52" s="100">
        <f>октябрь!G20</f>
        <v>0</v>
      </c>
      <c r="N52" s="92">
        <f>ноябрь!G20</f>
        <v>0</v>
      </c>
      <c r="O52" s="121">
        <f>декабрь!G20</f>
        <v>0</v>
      </c>
      <c r="P52" s="99">
        <f t="shared" si="13"/>
        <v>0</v>
      </c>
      <c r="Q52" s="100"/>
      <c r="R52" s="122">
        <f t="shared" si="14"/>
        <v>0</v>
      </c>
      <c r="T52" s="89"/>
    </row>
    <row r="53" spans="1:20" ht="15">
      <c r="A53" s="97"/>
      <c r="B53" s="171" t="s">
        <v>33</v>
      </c>
      <c r="C53" s="128"/>
      <c r="D53" s="128"/>
      <c r="E53" s="128"/>
      <c r="F53" s="128"/>
      <c r="G53" s="128">
        <f>апрель!G28</f>
        <v>0</v>
      </c>
      <c r="H53" s="99">
        <f>май!G28</f>
        <v>2236</v>
      </c>
      <c r="I53" s="99">
        <f>июнь!G29</f>
        <v>2236</v>
      </c>
      <c r="J53" s="100">
        <f>июль!G28</f>
        <v>2236</v>
      </c>
      <c r="K53" s="100">
        <f>август!G29</f>
        <v>2236</v>
      </c>
      <c r="L53" s="100">
        <f>сентябрь!G28</f>
        <v>2236</v>
      </c>
      <c r="M53" s="100">
        <f>октябрь!G28</f>
        <v>2236</v>
      </c>
      <c r="N53" s="92">
        <f>ноябрь!G28</f>
        <v>2236</v>
      </c>
      <c r="O53" s="121">
        <f>декабрь!G28</f>
        <v>2236</v>
      </c>
      <c r="P53" s="99">
        <f t="shared" si="13"/>
        <v>17888</v>
      </c>
      <c r="Q53" s="100">
        <f>Q12</f>
        <v>13984.53</v>
      </c>
      <c r="R53" s="122">
        <f t="shared" si="14"/>
        <v>3903.4699999999993</v>
      </c>
      <c r="T53" s="89"/>
    </row>
    <row r="54" spans="1:20" ht="15">
      <c r="A54" s="97"/>
      <c r="B54" s="171" t="s">
        <v>104</v>
      </c>
      <c r="C54" s="128"/>
      <c r="D54" s="128"/>
      <c r="E54" s="128"/>
      <c r="F54" s="128"/>
      <c r="G54" s="128"/>
      <c r="H54" s="99"/>
      <c r="I54" s="99">
        <f>июнь!G28</f>
        <v>2800</v>
      </c>
      <c r="J54" s="100">
        <f>июль!G29</f>
        <v>2800</v>
      </c>
      <c r="K54" s="100"/>
      <c r="L54" s="100"/>
      <c r="M54" s="100"/>
      <c r="N54" s="100"/>
      <c r="O54" s="121"/>
      <c r="P54" s="99">
        <f t="shared" si="13"/>
        <v>5600</v>
      </c>
      <c r="Q54" s="100">
        <f>P54</f>
        <v>5600</v>
      </c>
      <c r="R54" s="122">
        <f t="shared" si="14"/>
        <v>0</v>
      </c>
      <c r="T54" s="89"/>
    </row>
    <row r="55" spans="1:19" s="89" customFormat="1" ht="28.5">
      <c r="A55" s="85">
        <v>2</v>
      </c>
      <c r="B55" s="120" t="s">
        <v>98</v>
      </c>
      <c r="C55" s="87">
        <f>C56+C57</f>
        <v>0</v>
      </c>
      <c r="D55" s="87">
        <f>D56+D57</f>
        <v>0</v>
      </c>
      <c r="E55" s="87">
        <f aca="true" t="shared" si="15" ref="E55:R55">E56+E57</f>
        <v>0</v>
      </c>
      <c r="F55" s="87">
        <f t="shared" si="15"/>
        <v>0</v>
      </c>
      <c r="G55" s="87">
        <f t="shared" si="15"/>
        <v>0</v>
      </c>
      <c r="H55" s="87">
        <f t="shared" si="15"/>
        <v>7487.16</v>
      </c>
      <c r="I55" s="87">
        <f t="shared" si="15"/>
        <v>6090.16</v>
      </c>
      <c r="J55" s="87">
        <f t="shared" si="15"/>
        <v>24438.26</v>
      </c>
      <c r="K55" s="87">
        <f t="shared" si="15"/>
        <v>14262.16</v>
      </c>
      <c r="L55" s="87">
        <f t="shared" si="15"/>
        <v>7623.86</v>
      </c>
      <c r="M55" s="87">
        <f t="shared" si="15"/>
        <v>9118.529999999999</v>
      </c>
      <c r="N55" s="87">
        <f t="shared" si="15"/>
        <v>6025.16</v>
      </c>
      <c r="O55" s="87">
        <f t="shared" si="15"/>
        <v>6025.16</v>
      </c>
      <c r="P55" s="87">
        <f t="shared" si="13"/>
        <v>81070.45000000001</v>
      </c>
      <c r="Q55" s="87">
        <f t="shared" si="15"/>
        <v>75045.29</v>
      </c>
      <c r="R55" s="87">
        <f t="shared" si="15"/>
        <v>6025.1600000000035</v>
      </c>
      <c r="S55" s="88"/>
    </row>
    <row r="56" spans="1:20" ht="30">
      <c r="A56" s="97"/>
      <c r="B56" s="119" t="s">
        <v>93</v>
      </c>
      <c r="C56" s="99"/>
      <c r="D56" s="99">
        <f>январь!E23</f>
        <v>0</v>
      </c>
      <c r="E56" s="99">
        <f>февраль!E23</f>
        <v>0</v>
      </c>
      <c r="F56" s="99">
        <f>март!E23</f>
        <v>0</v>
      </c>
      <c r="G56" s="99">
        <f>апрель!E23</f>
        <v>0</v>
      </c>
      <c r="H56" s="99">
        <f>май!E23</f>
        <v>6025.16</v>
      </c>
      <c r="I56" s="99">
        <f>июнь!E23</f>
        <v>6025.16</v>
      </c>
      <c r="J56" s="99">
        <f>июль!E23</f>
        <v>6025.16</v>
      </c>
      <c r="K56" s="121">
        <f>август!E24</f>
        <v>6025.16</v>
      </c>
      <c r="L56" s="100">
        <f>сентябрь!E23</f>
        <v>6025.16</v>
      </c>
      <c r="M56" s="100">
        <f>октябрь!E23</f>
        <v>6025.16</v>
      </c>
      <c r="N56" s="100">
        <f>ноябрь!E23</f>
        <v>6025.16</v>
      </c>
      <c r="O56" s="100">
        <f>декабрь!E23</f>
        <v>6025.16</v>
      </c>
      <c r="P56" s="99">
        <f t="shared" si="13"/>
        <v>48201.28</v>
      </c>
      <c r="Q56" s="100">
        <f>P56-O56</f>
        <v>42176.119999999995</v>
      </c>
      <c r="R56" s="122">
        <f>C56+P56-Q56</f>
        <v>6025.1600000000035</v>
      </c>
      <c r="T56" s="89"/>
    </row>
    <row r="57" spans="1:18" ht="15">
      <c r="A57" s="97"/>
      <c r="B57" s="123" t="s">
        <v>90</v>
      </c>
      <c r="C57" s="124"/>
      <c r="D57" s="99">
        <f>январь!F23</f>
        <v>0</v>
      </c>
      <c r="E57" s="128">
        <f>февраль!F19</f>
        <v>0</v>
      </c>
      <c r="F57" s="128">
        <f>март!F23</f>
        <v>0</v>
      </c>
      <c r="G57" s="136">
        <f>апрель!F23</f>
        <v>0</v>
      </c>
      <c r="H57" s="99">
        <f>май!F23</f>
        <v>1462</v>
      </c>
      <c r="I57" s="99">
        <f>июнь!F23</f>
        <v>65</v>
      </c>
      <c r="J57" s="100">
        <f>июль!F23</f>
        <v>18413.1</v>
      </c>
      <c r="K57" s="121">
        <f>август!F24</f>
        <v>8237</v>
      </c>
      <c r="L57" s="100">
        <f>сентябрь!F23</f>
        <v>1598.7</v>
      </c>
      <c r="M57" s="100">
        <f>октябрь!F23</f>
        <v>3093.37</v>
      </c>
      <c r="N57" s="100">
        <f>ноябрь!F23</f>
        <v>0</v>
      </c>
      <c r="O57" s="100">
        <f>декабрь!F23</f>
        <v>0</v>
      </c>
      <c r="P57" s="99">
        <f t="shared" si="13"/>
        <v>32869.17</v>
      </c>
      <c r="Q57" s="100">
        <f>P57</f>
        <v>32869.17</v>
      </c>
      <c r="R57" s="122">
        <f>C57+P57-Q57</f>
        <v>0</v>
      </c>
    </row>
    <row r="58" spans="1:26" s="89" customFormat="1" ht="14.25">
      <c r="A58" s="85">
        <v>3</v>
      </c>
      <c r="B58" s="127" t="s">
        <v>97</v>
      </c>
      <c r="C58" s="131">
        <f>C59+C60</f>
        <v>0</v>
      </c>
      <c r="D58" s="131">
        <f>D59+D60</f>
        <v>0</v>
      </c>
      <c r="E58" s="131">
        <f aca="true" t="shared" si="16" ref="E58:R58">E59+E60</f>
        <v>0</v>
      </c>
      <c r="F58" s="131">
        <f t="shared" si="16"/>
        <v>0</v>
      </c>
      <c r="G58" s="131">
        <f t="shared" si="16"/>
        <v>0</v>
      </c>
      <c r="H58" s="131">
        <f t="shared" si="16"/>
        <v>3083.52</v>
      </c>
      <c r="I58" s="131">
        <f t="shared" si="16"/>
        <v>2981.52</v>
      </c>
      <c r="J58" s="131">
        <f t="shared" si="16"/>
        <v>2981.52</v>
      </c>
      <c r="K58" s="131">
        <f t="shared" si="16"/>
        <v>3070.62</v>
      </c>
      <c r="L58" s="131">
        <f t="shared" si="16"/>
        <v>2981.52</v>
      </c>
      <c r="M58" s="131">
        <f t="shared" si="16"/>
        <v>2981.52</v>
      </c>
      <c r="N58" s="131">
        <f t="shared" si="16"/>
        <v>2981.52</v>
      </c>
      <c r="O58" s="131">
        <f t="shared" si="16"/>
        <v>2981.52</v>
      </c>
      <c r="P58" s="87">
        <f t="shared" si="13"/>
        <v>24043.260000000002</v>
      </c>
      <c r="Q58" s="131">
        <f t="shared" si="16"/>
        <v>21061.739999999998</v>
      </c>
      <c r="R58" s="131">
        <f t="shared" si="16"/>
        <v>2981.5200000000004</v>
      </c>
      <c r="S58" s="88"/>
      <c r="X58" s="88" t="e">
        <f>#REF!+#REF!</f>
        <v>#REF!</v>
      </c>
      <c r="Z58" s="88">
        <v>1365644.8953411141</v>
      </c>
    </row>
    <row r="59" spans="1:18" ht="15" customHeight="1">
      <c r="A59" s="97"/>
      <c r="B59" s="119" t="s">
        <v>93</v>
      </c>
      <c r="C59" s="99"/>
      <c r="D59" s="99">
        <f>январь!E22</f>
        <v>0</v>
      </c>
      <c r="E59" s="99">
        <f>февраль!E22</f>
        <v>0</v>
      </c>
      <c r="F59" s="99">
        <f>март!E22</f>
        <v>0</v>
      </c>
      <c r="G59" s="99">
        <f>апрель!E22</f>
        <v>0</v>
      </c>
      <c r="H59" s="99">
        <f>май!E22</f>
        <v>2981.52</v>
      </c>
      <c r="I59" s="99">
        <f>июнь!E22</f>
        <v>2981.52</v>
      </c>
      <c r="J59" s="99">
        <f>июль!E22</f>
        <v>2981.52</v>
      </c>
      <c r="K59" s="99">
        <f>август!E23</f>
        <v>2981.52</v>
      </c>
      <c r="L59" s="99">
        <f>сентябрь!E22</f>
        <v>2981.52</v>
      </c>
      <c r="M59" s="100">
        <f>октябрь!G22</f>
        <v>2981.52</v>
      </c>
      <c r="N59" s="100">
        <f>ноябрь!G22</f>
        <v>2981.52</v>
      </c>
      <c r="O59" s="99">
        <f>декабрь!E22</f>
        <v>2981.52</v>
      </c>
      <c r="P59" s="99">
        <f aca="true" t="shared" si="17" ref="P59:P65">SUM(D59:O59)</f>
        <v>23852.16</v>
      </c>
      <c r="Q59" s="100">
        <f>P59-O59</f>
        <v>20870.64</v>
      </c>
      <c r="R59" s="122">
        <f>C59+P59-Q59</f>
        <v>2981.5200000000004</v>
      </c>
    </row>
    <row r="60" spans="1:26" ht="15">
      <c r="A60" s="97"/>
      <c r="B60" s="123" t="s">
        <v>90</v>
      </c>
      <c r="C60" s="99"/>
      <c r="D60" s="99">
        <f>январь!F22</f>
        <v>0</v>
      </c>
      <c r="E60" s="99">
        <f>февраль!F22</f>
        <v>0</v>
      </c>
      <c r="F60" s="99">
        <f>март!F22</f>
        <v>0</v>
      </c>
      <c r="G60" s="99">
        <f>апрель!F22</f>
        <v>0</v>
      </c>
      <c r="H60" s="99">
        <f>май!F22</f>
        <v>102</v>
      </c>
      <c r="I60" s="99">
        <f>июнь!F22</f>
        <v>0</v>
      </c>
      <c r="J60" s="100">
        <f>июль!F22</f>
        <v>0</v>
      </c>
      <c r="K60" s="99">
        <f>август!F23</f>
        <v>89.1</v>
      </c>
      <c r="L60" s="99">
        <f>сентябрь!F22</f>
        <v>0</v>
      </c>
      <c r="M60" s="100">
        <f>октябрь!F22</f>
        <v>0</v>
      </c>
      <c r="N60" s="100">
        <f>ноябрь!F22</f>
        <v>0</v>
      </c>
      <c r="O60" s="99">
        <f>декабрь!F23</f>
        <v>0</v>
      </c>
      <c r="P60" s="99">
        <f t="shared" si="17"/>
        <v>191.1</v>
      </c>
      <c r="Q60" s="100">
        <f>P60</f>
        <v>191.1</v>
      </c>
      <c r="R60" s="122">
        <f>C60+P60-Q60</f>
        <v>0</v>
      </c>
      <c r="Z60" s="101" t="e">
        <f>Z58-X58</f>
        <v>#REF!</v>
      </c>
    </row>
    <row r="61" spans="1:19" s="104" customFormat="1" ht="15">
      <c r="A61" s="105"/>
      <c r="B61" s="123" t="s">
        <v>116</v>
      </c>
      <c r="C61" s="99"/>
      <c r="D61" s="99">
        <f>январь!G24</f>
        <v>0</v>
      </c>
      <c r="E61" s="136">
        <f>февраль!G24</f>
        <v>0</v>
      </c>
      <c r="F61" s="99">
        <f>март!G24</f>
        <v>0</v>
      </c>
      <c r="G61" s="99">
        <f>апрель!G24</f>
        <v>0</v>
      </c>
      <c r="H61" s="99">
        <f>май!G24</f>
        <v>7702.26</v>
      </c>
      <c r="I61" s="99">
        <f>июнь!G24</f>
        <v>7702.26</v>
      </c>
      <c r="J61" s="100">
        <f>июль!G24</f>
        <v>7702.26</v>
      </c>
      <c r="K61" s="100">
        <f>август!G25</f>
        <v>7702.26</v>
      </c>
      <c r="L61" s="100">
        <f>сентябрь!G24</f>
        <v>7702.26</v>
      </c>
      <c r="M61" s="100">
        <f>октябрь!G24</f>
        <v>7702.26</v>
      </c>
      <c r="N61" s="100">
        <f>ноябрь!G24</f>
        <v>7702.26</v>
      </c>
      <c r="O61" s="99">
        <f>декабрь!E24</f>
        <v>7702.26</v>
      </c>
      <c r="P61" s="99">
        <f t="shared" si="17"/>
        <v>61618.08000000001</v>
      </c>
      <c r="Q61" s="100">
        <f>P61-O61</f>
        <v>53915.82000000001</v>
      </c>
      <c r="R61" s="122"/>
      <c r="S61" s="101"/>
    </row>
    <row r="62" spans="1:19" s="162" customFormat="1" ht="26.25" customHeight="1">
      <c r="A62" s="97">
        <v>4</v>
      </c>
      <c r="B62" s="119" t="s">
        <v>127</v>
      </c>
      <c r="C62" s="124"/>
      <c r="D62" s="99">
        <f>январь!G25</f>
        <v>0</v>
      </c>
      <c r="E62" s="136">
        <f>февраль!G25</f>
        <v>0</v>
      </c>
      <c r="F62" s="99">
        <f>март!G25</f>
        <v>0</v>
      </c>
      <c r="G62" s="99">
        <f>апрель!G25</f>
        <v>0</v>
      </c>
      <c r="H62" s="99">
        <f>май!G25</f>
        <v>9416.63</v>
      </c>
      <c r="I62" s="99">
        <f>июнь!G25</f>
        <v>9416.63</v>
      </c>
      <c r="J62" s="100">
        <f>июль!G25</f>
        <v>9416.63</v>
      </c>
      <c r="K62" s="100">
        <f>август!G26</f>
        <v>9416.63</v>
      </c>
      <c r="L62" s="100">
        <f>сентябрь!G25</f>
        <v>9416.63</v>
      </c>
      <c r="M62" s="100">
        <f>октябрь!G25</f>
        <v>9416.63</v>
      </c>
      <c r="N62" s="100">
        <f>ноябрь!G25</f>
        <v>9416.63</v>
      </c>
      <c r="O62" s="99">
        <f>декабрь!E25</f>
        <v>9416.63</v>
      </c>
      <c r="P62" s="99">
        <f t="shared" si="17"/>
        <v>75333.04</v>
      </c>
      <c r="Q62" s="100">
        <f>P62-O62</f>
        <v>65916.40999999999</v>
      </c>
      <c r="R62" s="122">
        <f aca="true" t="shared" si="18" ref="R62:R67">C62+P62-Q62</f>
        <v>9416.630000000005</v>
      </c>
      <c r="S62" s="161"/>
    </row>
    <row r="63" spans="1:19" s="162" customFormat="1" ht="15">
      <c r="A63" s="163">
        <v>5</v>
      </c>
      <c r="B63" s="123" t="s">
        <v>99</v>
      </c>
      <c r="C63" s="124"/>
      <c r="D63" s="99">
        <f>январь!G26</f>
        <v>0</v>
      </c>
      <c r="E63" s="136">
        <f>февраль!G26</f>
        <v>0</v>
      </c>
      <c r="F63" s="99">
        <f>март!G26</f>
        <v>0</v>
      </c>
      <c r="G63" s="99">
        <f>апрель!G26</f>
        <v>0</v>
      </c>
      <c r="H63" s="99">
        <f>май!G26</f>
        <v>1656.4</v>
      </c>
      <c r="I63" s="99">
        <f>июнь!G26</f>
        <v>1656.4</v>
      </c>
      <c r="J63" s="100">
        <f>июль!G26</f>
        <v>1656.4</v>
      </c>
      <c r="K63" s="100">
        <f>август!G27</f>
        <v>1656.4</v>
      </c>
      <c r="L63" s="100">
        <f>сентябрь!G26</f>
        <v>1656.4</v>
      </c>
      <c r="M63" s="100">
        <f>октябрь!G26</f>
        <v>1656.4</v>
      </c>
      <c r="N63" s="100">
        <f>ноябрь!G26</f>
        <v>1656.4</v>
      </c>
      <c r="O63" s="99">
        <f>декабрь!E26</f>
        <v>1656.4</v>
      </c>
      <c r="P63" s="99">
        <f t="shared" si="17"/>
        <v>13251.199999999999</v>
      </c>
      <c r="Q63" s="100">
        <f>P63-O63</f>
        <v>11594.8</v>
      </c>
      <c r="R63" s="122">
        <f t="shared" si="18"/>
        <v>1656.3999999999996</v>
      </c>
      <c r="S63" s="161"/>
    </row>
    <row r="64" spans="1:19" s="162" customFormat="1" ht="15">
      <c r="A64" s="163">
        <v>6</v>
      </c>
      <c r="B64" s="123" t="s">
        <v>100</v>
      </c>
      <c r="C64" s="124"/>
      <c r="D64" s="99">
        <f>январь!G27</f>
        <v>0</v>
      </c>
      <c r="E64" s="136">
        <f>февраль!G27</f>
        <v>0</v>
      </c>
      <c r="F64" s="99">
        <f>март!G27</f>
        <v>0</v>
      </c>
      <c r="G64" s="99">
        <f>апрель!G27</f>
        <v>0</v>
      </c>
      <c r="H64" s="99">
        <f>май!G27</f>
        <v>869.61</v>
      </c>
      <c r="I64" s="99">
        <f>июнь!G27</f>
        <v>869.61</v>
      </c>
      <c r="J64" s="100">
        <f>июль!G27</f>
        <v>869.61</v>
      </c>
      <c r="K64" s="100">
        <f>август!G28</f>
        <v>869.61</v>
      </c>
      <c r="L64" s="100">
        <f>сентябрь!G27</f>
        <v>869.61</v>
      </c>
      <c r="M64" s="100">
        <f>октябрь!G27</f>
        <v>869.61</v>
      </c>
      <c r="N64" s="100">
        <f>ноябрь!G27</f>
        <v>869.61</v>
      </c>
      <c r="O64" s="100">
        <f>декабрь!G27</f>
        <v>869.61</v>
      </c>
      <c r="P64" s="99">
        <f t="shared" si="17"/>
        <v>6956.879999999999</v>
      </c>
      <c r="Q64" s="100">
        <f>P64-O64</f>
        <v>6087.2699999999995</v>
      </c>
      <c r="R64" s="122">
        <f t="shared" si="18"/>
        <v>869.6099999999997</v>
      </c>
      <c r="S64" s="161"/>
    </row>
    <row r="65" spans="1:19" s="134" customFormat="1" ht="15" hidden="1">
      <c r="A65" s="106"/>
      <c r="B65" s="132" t="s">
        <v>41</v>
      </c>
      <c r="C65" s="93"/>
      <c r="D65" s="99">
        <f>январь!G28</f>
        <v>0</v>
      </c>
      <c r="E65" s="136">
        <f>февраль!G24</f>
        <v>0</v>
      </c>
      <c r="F65" s="129">
        <f>март!E59</f>
        <v>0</v>
      </c>
      <c r="G65" s="129">
        <f>апрель!E60</f>
        <v>0</v>
      </c>
      <c r="H65" s="93">
        <f>май!E60</f>
        <v>0</v>
      </c>
      <c r="I65" s="93"/>
      <c r="J65" s="103"/>
      <c r="K65" s="103"/>
      <c r="L65" s="103"/>
      <c r="M65" s="103"/>
      <c r="N65" s="100">
        <f>ноябрь!G28</f>
        <v>2236</v>
      </c>
      <c r="O65" s="103"/>
      <c r="P65" s="93">
        <f t="shared" si="17"/>
        <v>2236</v>
      </c>
      <c r="Q65" s="100">
        <f>P65-O65</f>
        <v>2236</v>
      </c>
      <c r="R65" s="130">
        <f t="shared" si="18"/>
        <v>0</v>
      </c>
      <c r="S65" s="133"/>
    </row>
    <row r="66" spans="1:19" s="134" customFormat="1" ht="15">
      <c r="A66" s="106"/>
      <c r="B66" s="173"/>
      <c r="C66" s="174"/>
      <c r="D66" s="175"/>
      <c r="E66" s="176"/>
      <c r="F66" s="177"/>
      <c r="G66" s="177"/>
      <c r="H66" s="99"/>
      <c r="I66" s="93"/>
      <c r="J66" s="103"/>
      <c r="K66" s="103"/>
      <c r="L66" s="103"/>
      <c r="M66" s="103"/>
      <c r="N66" s="100"/>
      <c r="O66" s="103"/>
      <c r="P66" s="99">
        <f aca="true" t="shared" si="19" ref="P66:P76">SUM(D66:O66)</f>
        <v>0</v>
      </c>
      <c r="Q66" s="93"/>
      <c r="R66" s="122">
        <f t="shared" si="18"/>
        <v>0</v>
      </c>
      <c r="S66" s="133"/>
    </row>
    <row r="67" spans="1:19" s="140" customFormat="1" ht="64.5" customHeight="1">
      <c r="A67" s="137"/>
      <c r="B67" s="157" t="s">
        <v>120</v>
      </c>
      <c r="C67" s="156"/>
      <c r="D67" s="170">
        <f>D68+D72</f>
        <v>0</v>
      </c>
      <c r="E67" s="170">
        <f>E68+E72</f>
        <v>0</v>
      </c>
      <c r="F67" s="170">
        <f>F68+F72</f>
        <v>0</v>
      </c>
      <c r="G67" s="170">
        <f>G68+G72</f>
        <v>0</v>
      </c>
      <c r="H67" s="170">
        <f>H68+H72</f>
        <v>0</v>
      </c>
      <c r="I67" s="87">
        <f aca="true" t="shared" si="20" ref="I67:Q67">I68+I72</f>
        <v>0</v>
      </c>
      <c r="J67" s="87">
        <f t="shared" si="20"/>
        <v>0</v>
      </c>
      <c r="K67" s="87">
        <f t="shared" si="20"/>
        <v>13720</v>
      </c>
      <c r="L67" s="87">
        <f t="shared" si="20"/>
        <v>4384.95</v>
      </c>
      <c r="M67" s="87">
        <f t="shared" si="20"/>
        <v>4984.95</v>
      </c>
      <c r="N67" s="87">
        <f t="shared" si="20"/>
        <v>92693</v>
      </c>
      <c r="O67" s="87">
        <f t="shared" si="20"/>
        <v>52170.4</v>
      </c>
      <c r="P67" s="87">
        <f t="shared" si="19"/>
        <v>167953.3</v>
      </c>
      <c r="Q67" s="87">
        <f t="shared" si="20"/>
        <v>167953.3</v>
      </c>
      <c r="R67" s="125">
        <f t="shared" si="18"/>
        <v>0</v>
      </c>
      <c r="S67" s="139"/>
    </row>
    <row r="68" spans="1:19" s="140" customFormat="1" ht="32.25" customHeight="1">
      <c r="A68" s="137"/>
      <c r="B68" s="119" t="s">
        <v>121</v>
      </c>
      <c r="C68" s="138"/>
      <c r="D68" s="131">
        <f>январь!G31</f>
        <v>0</v>
      </c>
      <c r="E68" s="131">
        <f>февраль!G31</f>
        <v>0</v>
      </c>
      <c r="F68" s="99">
        <f>март!G31</f>
        <v>0</v>
      </c>
      <c r="G68" s="99">
        <f>апрель!G32</f>
        <v>0</v>
      </c>
      <c r="H68" s="99">
        <f>май!G32</f>
        <v>0</v>
      </c>
      <c r="I68" s="99">
        <f>июнь!G33</f>
        <v>0</v>
      </c>
      <c r="J68" s="100">
        <f>июль!G33</f>
        <v>0</v>
      </c>
      <c r="K68" s="99">
        <f>K69</f>
        <v>0</v>
      </c>
      <c r="L68" s="99">
        <f aca="true" t="shared" si="21" ref="L68:Q68">L69+L70</f>
        <v>0</v>
      </c>
      <c r="M68" s="100">
        <f t="shared" si="21"/>
        <v>300</v>
      </c>
      <c r="N68" s="100">
        <f t="shared" si="21"/>
        <v>0</v>
      </c>
      <c r="O68" s="100">
        <f t="shared" si="21"/>
        <v>8000</v>
      </c>
      <c r="P68" s="100">
        <f t="shared" si="21"/>
        <v>8300</v>
      </c>
      <c r="Q68" s="100">
        <f t="shared" si="21"/>
        <v>8300</v>
      </c>
      <c r="R68" s="122">
        <f aca="true" t="shared" si="22" ref="R68:R76">C68+P68-Q68</f>
        <v>0</v>
      </c>
      <c r="S68" s="139"/>
    </row>
    <row r="69" spans="1:19" s="140" customFormat="1" ht="19.5" customHeight="1">
      <c r="A69" s="137"/>
      <c r="B69" s="168"/>
      <c r="C69" s="138"/>
      <c r="D69" s="129">
        <f>январь!G32</f>
        <v>0</v>
      </c>
      <c r="E69" s="129">
        <f>февраль!G32</f>
        <v>0</v>
      </c>
      <c r="F69" s="99">
        <f>март!G32</f>
        <v>0</v>
      </c>
      <c r="G69" s="99">
        <f>апрель!G33</f>
        <v>0</v>
      </c>
      <c r="H69" s="99">
        <f>май!G33</f>
        <v>0</v>
      </c>
      <c r="I69" s="99">
        <f>июнь!G34</f>
        <v>0</v>
      </c>
      <c r="J69" s="100">
        <f>июль!G34</f>
        <v>0</v>
      </c>
      <c r="K69" s="93">
        <f>август!G33</f>
        <v>0</v>
      </c>
      <c r="L69" s="99">
        <f>L70+L71</f>
        <v>0</v>
      </c>
      <c r="M69" s="100">
        <f>октябрь!F33</f>
        <v>300</v>
      </c>
      <c r="N69" s="87"/>
      <c r="O69" s="100"/>
      <c r="P69" s="99">
        <f t="shared" si="19"/>
        <v>300</v>
      </c>
      <c r="Q69" s="93">
        <f>P69</f>
        <v>300</v>
      </c>
      <c r="R69" s="122">
        <f t="shared" si="22"/>
        <v>0</v>
      </c>
      <c r="S69" s="139"/>
    </row>
    <row r="70" spans="1:19" s="140" customFormat="1" ht="19.5" customHeight="1">
      <c r="A70" s="137"/>
      <c r="B70" s="168" t="s">
        <v>142</v>
      </c>
      <c r="C70" s="138"/>
      <c r="D70" s="129">
        <f>январь!G33</f>
        <v>0</v>
      </c>
      <c r="E70" s="129">
        <f>февраль!G33</f>
        <v>0</v>
      </c>
      <c r="F70" s="99">
        <f>март!G33</f>
        <v>0</v>
      </c>
      <c r="G70" s="99">
        <f>апрель!G33</f>
        <v>0</v>
      </c>
      <c r="H70" s="99">
        <f>май!G34</f>
        <v>0</v>
      </c>
      <c r="I70" s="99">
        <f>июнь!G35</f>
        <v>0</v>
      </c>
      <c r="J70" s="100">
        <f>июль!G35</f>
        <v>0</v>
      </c>
      <c r="K70" s="93">
        <v>0</v>
      </c>
      <c r="L70" s="93">
        <v>0</v>
      </c>
      <c r="M70" s="100">
        <v>0</v>
      </c>
      <c r="N70" s="87"/>
      <c r="O70" s="100">
        <f>декабрь!E33</f>
        <v>8000</v>
      </c>
      <c r="P70" s="99">
        <f t="shared" si="19"/>
        <v>8000</v>
      </c>
      <c r="Q70" s="93">
        <f>P70</f>
        <v>8000</v>
      </c>
      <c r="R70" s="122">
        <f t="shared" si="22"/>
        <v>0</v>
      </c>
      <c r="S70" s="139"/>
    </row>
    <row r="71" spans="1:19" s="140" customFormat="1" ht="19.5" customHeight="1">
      <c r="A71" s="137"/>
      <c r="B71" s="168"/>
      <c r="C71" s="138"/>
      <c r="D71" s="129"/>
      <c r="E71" s="129">
        <f>февраль!G34</f>
        <v>0</v>
      </c>
      <c r="F71" s="99">
        <f>март!G34</f>
        <v>0</v>
      </c>
      <c r="G71" s="99">
        <f>апрель!G34</f>
        <v>0</v>
      </c>
      <c r="H71" s="99">
        <f>май!G35</f>
        <v>0</v>
      </c>
      <c r="I71" s="99">
        <f>июнь!G36</f>
        <v>0</v>
      </c>
      <c r="J71" s="100">
        <f>июль!G36</f>
        <v>0</v>
      </c>
      <c r="K71" s="93">
        <v>0</v>
      </c>
      <c r="L71" s="93">
        <v>0</v>
      </c>
      <c r="M71" s="100">
        <f>октябрь!G34</f>
        <v>0</v>
      </c>
      <c r="N71" s="87"/>
      <c r="O71" s="87"/>
      <c r="P71" s="99">
        <f t="shared" si="19"/>
        <v>0</v>
      </c>
      <c r="Q71" s="93">
        <f>P71</f>
        <v>0</v>
      </c>
      <c r="R71" s="122">
        <f t="shared" si="22"/>
        <v>0</v>
      </c>
      <c r="S71" s="139"/>
    </row>
    <row r="72" spans="1:19" s="140" customFormat="1" ht="30">
      <c r="A72" s="137"/>
      <c r="B72" s="119" t="s">
        <v>124</v>
      </c>
      <c r="C72" s="138"/>
      <c r="D72" s="131">
        <f>январь!G34</f>
        <v>0</v>
      </c>
      <c r="E72" s="131">
        <f>февраль!G34</f>
        <v>0</v>
      </c>
      <c r="F72" s="99">
        <f>март!G34</f>
        <v>0</v>
      </c>
      <c r="G72" s="99">
        <f>апрель!G35</f>
        <v>0</v>
      </c>
      <c r="H72" s="99">
        <f>май!G36</f>
        <v>0</v>
      </c>
      <c r="I72" s="99">
        <f>июнь!G34</f>
        <v>0</v>
      </c>
      <c r="J72" s="99">
        <f>июнь!G34</f>
        <v>0</v>
      </c>
      <c r="K72" s="99">
        <f>K73+K74</f>
        <v>13720</v>
      </c>
      <c r="L72" s="99">
        <f>L73+L74</f>
        <v>4384.95</v>
      </c>
      <c r="M72" s="99">
        <f>M73+M74</f>
        <v>4684.95</v>
      </c>
      <c r="N72" s="99">
        <f>N73+N74+N75+N76</f>
        <v>92693</v>
      </c>
      <c r="O72" s="99">
        <f>O73+O74+O75+O76</f>
        <v>44170.4</v>
      </c>
      <c r="P72" s="99">
        <f>P73+P74+P75+P76</f>
        <v>159653.3</v>
      </c>
      <c r="Q72" s="99">
        <f>Q73+Q74+Q75+Q76</f>
        <v>159653.3</v>
      </c>
      <c r="R72" s="122">
        <f t="shared" si="22"/>
        <v>0</v>
      </c>
      <c r="S72" s="139"/>
    </row>
    <row r="73" spans="1:19" s="140" customFormat="1" ht="15">
      <c r="A73" s="137"/>
      <c r="B73" s="165" t="s">
        <v>179</v>
      </c>
      <c r="C73" s="138"/>
      <c r="D73" s="129">
        <f>январь!G35</f>
        <v>0</v>
      </c>
      <c r="E73" s="129">
        <f>февраль!G35</f>
        <v>0</v>
      </c>
      <c r="F73" s="99">
        <f>март!G35</f>
        <v>0</v>
      </c>
      <c r="G73" s="99">
        <f>апрель!G36</f>
        <v>0</v>
      </c>
      <c r="H73" s="99">
        <f>май!G37</f>
        <v>0</v>
      </c>
      <c r="I73" s="99">
        <f>июнь!G37</f>
        <v>0</v>
      </c>
      <c r="J73" s="93">
        <f>июль!G37</f>
        <v>0</v>
      </c>
      <c r="K73" s="99">
        <f>август!G37</f>
        <v>13720</v>
      </c>
      <c r="L73" s="93">
        <f>сентябрь!G37</f>
        <v>0</v>
      </c>
      <c r="M73" s="100">
        <f>октябрь!G37</f>
        <v>0</v>
      </c>
      <c r="N73" s="138"/>
      <c r="O73" s="138"/>
      <c r="P73" s="99">
        <f t="shared" si="19"/>
        <v>13720</v>
      </c>
      <c r="Q73" s="93">
        <f>P73</f>
        <v>13720</v>
      </c>
      <c r="R73" s="122">
        <f t="shared" si="22"/>
        <v>0</v>
      </c>
      <c r="S73" s="139"/>
    </row>
    <row r="74" spans="1:19" s="140" customFormat="1" ht="15">
      <c r="A74" s="137"/>
      <c r="B74" s="169" t="s">
        <v>146</v>
      </c>
      <c r="C74" s="138"/>
      <c r="D74" s="129">
        <f>январь!G36</f>
        <v>0</v>
      </c>
      <c r="E74" s="129">
        <f>февраль!G36</f>
        <v>0</v>
      </c>
      <c r="F74" s="99">
        <f>март!G36</f>
        <v>0</v>
      </c>
      <c r="G74" s="99">
        <f>апрель!G37</f>
        <v>0</v>
      </c>
      <c r="H74" s="99">
        <f>май!G38</f>
        <v>0</v>
      </c>
      <c r="I74" s="99">
        <f>июнь!G38</f>
        <v>0</v>
      </c>
      <c r="J74" s="93">
        <f>июль!G38</f>
        <v>0</v>
      </c>
      <c r="K74" s="99">
        <f>июль!G38</f>
        <v>0</v>
      </c>
      <c r="L74" s="93">
        <f>сентябрь!G38</f>
        <v>4384.95</v>
      </c>
      <c r="M74" s="100">
        <f>октябрь!G38</f>
        <v>4684.95</v>
      </c>
      <c r="N74" s="138"/>
      <c r="O74" s="138"/>
      <c r="P74" s="99">
        <f t="shared" si="19"/>
        <v>9069.9</v>
      </c>
      <c r="Q74" s="93">
        <f>P74</f>
        <v>9069.9</v>
      </c>
      <c r="R74" s="122">
        <f t="shared" si="22"/>
        <v>0</v>
      </c>
      <c r="S74" s="139"/>
    </row>
    <row r="75" spans="1:19" s="140" customFormat="1" ht="15">
      <c r="A75" s="137"/>
      <c r="B75" s="169" t="s">
        <v>191</v>
      </c>
      <c r="C75" s="138"/>
      <c r="D75" s="129"/>
      <c r="E75" s="129"/>
      <c r="F75" s="99"/>
      <c r="G75" s="99"/>
      <c r="H75" s="99"/>
      <c r="I75" s="99"/>
      <c r="J75" s="93"/>
      <c r="K75" s="99"/>
      <c r="L75" s="93"/>
      <c r="M75" s="100"/>
      <c r="N75" s="100">
        <f>ноябрь!G35</f>
        <v>92693</v>
      </c>
      <c r="O75" s="180"/>
      <c r="P75" s="99">
        <f t="shared" si="19"/>
        <v>92693</v>
      </c>
      <c r="Q75" s="93">
        <f>P75</f>
        <v>92693</v>
      </c>
      <c r="R75" s="122">
        <f t="shared" si="22"/>
        <v>0</v>
      </c>
      <c r="S75" s="139"/>
    </row>
    <row r="76" spans="1:19" s="140" customFormat="1" ht="30">
      <c r="A76" s="137"/>
      <c r="B76" s="168" t="s">
        <v>194</v>
      </c>
      <c r="C76" s="138"/>
      <c r="D76" s="129"/>
      <c r="E76" s="129"/>
      <c r="F76" s="99"/>
      <c r="G76" s="99"/>
      <c r="H76" s="99"/>
      <c r="I76" s="99"/>
      <c r="J76" s="93"/>
      <c r="K76" s="99"/>
      <c r="L76" s="93"/>
      <c r="M76" s="100"/>
      <c r="N76" s="138"/>
      <c r="O76" s="100">
        <f>декабрь!G36</f>
        <v>44170.4</v>
      </c>
      <c r="P76" s="99">
        <f t="shared" si="19"/>
        <v>44170.4</v>
      </c>
      <c r="Q76" s="93">
        <f>P76</f>
        <v>44170.4</v>
      </c>
      <c r="R76" s="122">
        <f t="shared" si="22"/>
        <v>0</v>
      </c>
      <c r="S76" s="139"/>
    </row>
    <row r="77" spans="1:19" s="140" customFormat="1" ht="15">
      <c r="A77" s="137"/>
      <c r="B77" s="135" t="s">
        <v>195</v>
      </c>
      <c r="C77" s="138"/>
      <c r="D77" s="131">
        <f>январь!E41</f>
        <v>0</v>
      </c>
      <c r="E77" s="131">
        <f>февраль!E41</f>
        <v>0</v>
      </c>
      <c r="F77" s="131">
        <f>март!E41</f>
        <v>0</v>
      </c>
      <c r="G77" s="87">
        <f>апрель!E42</f>
        <v>0</v>
      </c>
      <c r="H77" s="87">
        <f>май!E42</f>
        <v>0</v>
      </c>
      <c r="I77" s="87">
        <f>июнь!G43</f>
        <v>1459.36</v>
      </c>
      <c r="J77" s="87">
        <f>июль!G43</f>
        <v>1711.91</v>
      </c>
      <c r="K77" s="87">
        <f>август!G43</f>
        <v>2747.16</v>
      </c>
      <c r="L77" s="87">
        <f>сентябрь!G42</f>
        <v>2511.75</v>
      </c>
      <c r="M77" s="87">
        <f>октябрь!G44</f>
        <v>0</v>
      </c>
      <c r="N77" s="87">
        <f>ноябрь!G44</f>
        <v>0</v>
      </c>
      <c r="O77" s="87">
        <f>декабрь!G44</f>
        <v>0</v>
      </c>
      <c r="P77" s="87">
        <f>SUM(D77:O77)</f>
        <v>8430.18</v>
      </c>
      <c r="Q77" s="87">
        <f>P77</f>
        <v>8430.18</v>
      </c>
      <c r="R77" s="125">
        <f>C77+P77-Q77</f>
        <v>0</v>
      </c>
      <c r="S77" s="139"/>
    </row>
    <row r="78" spans="1:21" s="89" customFormat="1" ht="14.25">
      <c r="A78" s="107"/>
      <c r="B78" s="86" t="s">
        <v>101</v>
      </c>
      <c r="C78" s="87">
        <f>C64+C63+C62+C58+C55+C41+C77</f>
        <v>0</v>
      </c>
      <c r="D78" s="87">
        <f aca="true" t="shared" si="23" ref="D78:Q78">D64+D63+D62+D61+D58+D55+D41+D67+D77</f>
        <v>0</v>
      </c>
      <c r="E78" s="87">
        <f t="shared" si="23"/>
        <v>0</v>
      </c>
      <c r="F78" s="87">
        <f t="shared" si="23"/>
        <v>0</v>
      </c>
      <c r="G78" s="87">
        <f t="shared" si="23"/>
        <v>0</v>
      </c>
      <c r="H78" s="87">
        <f t="shared" si="23"/>
        <v>56658.25</v>
      </c>
      <c r="I78" s="87">
        <f t="shared" si="23"/>
        <v>58764.22</v>
      </c>
      <c r="J78" s="87">
        <f t="shared" si="23"/>
        <v>84502.46</v>
      </c>
      <c r="K78" s="87">
        <f t="shared" si="23"/>
        <v>89502.56</v>
      </c>
      <c r="L78" s="87">
        <f t="shared" si="23"/>
        <v>65626.67</v>
      </c>
      <c r="M78" s="87">
        <f t="shared" si="23"/>
        <v>65354</v>
      </c>
      <c r="N78" s="87">
        <f t="shared" si="23"/>
        <v>150040.9</v>
      </c>
      <c r="O78" s="87">
        <f t="shared" si="23"/>
        <v>109378.67000000001</v>
      </c>
      <c r="P78" s="87">
        <f>SUM(D78:O78)</f>
        <v>679827.73</v>
      </c>
      <c r="Q78" s="87">
        <f t="shared" si="23"/>
        <v>598590.2100000001</v>
      </c>
      <c r="R78" s="125">
        <f>C78+P78-Q78</f>
        <v>81237.5199999999</v>
      </c>
      <c r="S78" s="88"/>
      <c r="U78" s="88" t="e">
        <f>#REF!-#REF!</f>
        <v>#REF!</v>
      </c>
    </row>
    <row r="79" spans="2:20" s="108" customFormat="1" ht="15">
      <c r="B79" s="108" t="s">
        <v>76</v>
      </c>
      <c r="C79" s="99"/>
      <c r="D79" s="99">
        <f aca="true" t="shared" si="24" ref="D79:Q79">D18-D78</f>
        <v>0</v>
      </c>
      <c r="E79" s="99">
        <f t="shared" si="24"/>
        <v>0</v>
      </c>
      <c r="F79" s="99">
        <f t="shared" si="24"/>
        <v>0</v>
      </c>
      <c r="G79" s="99">
        <f t="shared" si="24"/>
        <v>0</v>
      </c>
      <c r="H79" s="99">
        <f t="shared" si="24"/>
        <v>27283.5</v>
      </c>
      <c r="I79" s="99">
        <f t="shared" si="24"/>
        <v>40971.67999999999</v>
      </c>
      <c r="J79" s="99">
        <f t="shared" si="24"/>
        <v>-743.6199999999953</v>
      </c>
      <c r="K79" s="99">
        <f t="shared" si="24"/>
        <v>-10582.830000000016</v>
      </c>
      <c r="L79" s="99">
        <f t="shared" si="24"/>
        <v>13327.559999999983</v>
      </c>
      <c r="M79" s="99">
        <f t="shared" si="24"/>
        <v>-22188.059999999998</v>
      </c>
      <c r="N79" s="99">
        <f t="shared" si="24"/>
        <v>-73415.84</v>
      </c>
      <c r="O79" s="99">
        <f t="shared" si="24"/>
        <v>-45759.34000000002</v>
      </c>
      <c r="P79" s="99">
        <f t="shared" si="24"/>
        <v>-71106.95000000007</v>
      </c>
      <c r="Q79" s="99">
        <f t="shared" si="24"/>
        <v>-130301.78000000003</v>
      </c>
      <c r="R79" s="122">
        <f>C79+P79</f>
        <v>-71106.95000000007</v>
      </c>
      <c r="S79" s="109"/>
      <c r="T79" s="109"/>
    </row>
    <row r="80" spans="2:19" s="55" customFormat="1" ht="15.75">
      <c r="B80" s="183" t="s">
        <v>64</v>
      </c>
      <c r="C80" s="184"/>
      <c r="D80" s="67"/>
      <c r="E80" s="67"/>
      <c r="F80" s="67"/>
      <c r="G80" s="67"/>
      <c r="H80" s="67"/>
      <c r="I80" s="67"/>
      <c r="J80" s="68"/>
      <c r="K80" s="68"/>
      <c r="L80" s="68"/>
      <c r="M80" s="68"/>
      <c r="N80" s="68"/>
      <c r="O80" s="68"/>
      <c r="P80" s="99"/>
      <c r="Q80" s="68"/>
      <c r="R80" s="122"/>
      <c r="S80" s="59"/>
    </row>
    <row r="81" spans="1:18" ht="15">
      <c r="A81" s="97"/>
      <c r="B81" s="98" t="s">
        <v>35</v>
      </c>
      <c r="C81" s="99"/>
      <c r="D81" s="99">
        <f>январь!E45</f>
        <v>0</v>
      </c>
      <c r="E81" s="99">
        <f>февраль!E45</f>
        <v>0</v>
      </c>
      <c r="F81" s="99">
        <f>март!E45</f>
        <v>0</v>
      </c>
      <c r="G81" s="99">
        <f>апрель!E46</f>
        <v>0</v>
      </c>
      <c r="H81" s="99">
        <f>май!E46</f>
        <v>33999.49</v>
      </c>
      <c r="I81" s="99">
        <f>июнь!E47</f>
        <v>39144.15</v>
      </c>
      <c r="J81" s="100">
        <f>июль!E47</f>
        <v>38414.98</v>
      </c>
      <c r="K81" s="100">
        <f>август!E47</f>
        <v>39005.46</v>
      </c>
      <c r="L81" s="100">
        <f>сентябрь!E46</f>
        <v>38163.24</v>
      </c>
      <c r="M81" s="100">
        <v>41363.22</v>
      </c>
      <c r="N81" s="100">
        <f>ноябрь!E46</f>
        <v>46334.56</v>
      </c>
      <c r="O81" s="100">
        <f>декабрь!E46</f>
        <v>46086.15</v>
      </c>
      <c r="P81" s="99">
        <f aca="true" t="shared" si="25" ref="P81:P86">SUM(D81:O81)</f>
        <v>322511.25</v>
      </c>
      <c r="Q81" s="100">
        <f>Q23+Q31</f>
        <v>182153.59</v>
      </c>
      <c r="R81" s="122">
        <f aca="true" t="shared" si="26" ref="R81:R88">C81+P81-Q81</f>
        <v>140357.66</v>
      </c>
    </row>
    <row r="82" spans="1:22" ht="15">
      <c r="A82" s="97"/>
      <c r="B82" s="98" t="s">
        <v>68</v>
      </c>
      <c r="C82" s="99"/>
      <c r="D82" s="99">
        <f>январь!E46</f>
        <v>0</v>
      </c>
      <c r="E82" s="99">
        <f>февраль!E46</f>
        <v>0</v>
      </c>
      <c r="F82" s="99">
        <f>март!E46</f>
        <v>0</v>
      </c>
      <c r="G82" s="99">
        <f>апрель!E47</f>
        <v>0</v>
      </c>
      <c r="H82" s="99">
        <f>май!E47</f>
        <v>34757.14</v>
      </c>
      <c r="I82" s="99">
        <f>июнь!E48</f>
        <v>0</v>
      </c>
      <c r="J82" s="100">
        <f>июль!E48</f>
        <v>0</v>
      </c>
      <c r="K82" s="100">
        <f>август!E48</f>
        <v>0</v>
      </c>
      <c r="L82" s="100">
        <f>сентябрь!E47</f>
        <v>6439.82</v>
      </c>
      <c r="M82" s="100">
        <f>октябрь!E47</f>
        <v>60946.35</v>
      </c>
      <c r="N82" s="100">
        <f>ноябрь!E47</f>
        <v>78669.45</v>
      </c>
      <c r="O82" s="100">
        <f>декабрь!E47</f>
        <v>121196.12</v>
      </c>
      <c r="P82" s="99">
        <f t="shared" si="25"/>
        <v>302008.88</v>
      </c>
      <c r="Q82" s="100">
        <f>Q30+Q24</f>
        <v>156271.59</v>
      </c>
      <c r="R82" s="122">
        <f t="shared" si="26"/>
        <v>145737.29</v>
      </c>
      <c r="U82" s="110" t="e">
        <f>#REF!+#REF!</f>
        <v>#REF!</v>
      </c>
      <c r="V82" s="104" t="e">
        <f>U82*5%</f>
        <v>#REF!</v>
      </c>
    </row>
    <row r="83" spans="1:18" ht="15">
      <c r="A83" s="97"/>
      <c r="B83" s="98" t="s">
        <v>37</v>
      </c>
      <c r="C83" s="99"/>
      <c r="D83" s="99">
        <f>январь!E47</f>
        <v>0</v>
      </c>
      <c r="E83" s="99">
        <f>февраль!E47</f>
        <v>0</v>
      </c>
      <c r="F83" s="99">
        <f>март!E47</f>
        <v>0</v>
      </c>
      <c r="G83" s="99">
        <f>апрель!E48</f>
        <v>0</v>
      </c>
      <c r="H83" s="99">
        <f>май!E48</f>
        <v>14675.47</v>
      </c>
      <c r="I83" s="99">
        <f>июнь!E49</f>
        <v>12023.44</v>
      </c>
      <c r="J83" s="100">
        <f>июль!E49</f>
        <v>10271.3</v>
      </c>
      <c r="K83" s="100">
        <f>август!E49</f>
        <v>11106.36</v>
      </c>
      <c r="L83" s="100">
        <f>сентябрь!E48</f>
        <v>16140.89</v>
      </c>
      <c r="M83" s="100">
        <f>октябрь!E48</f>
        <v>12882.49</v>
      </c>
      <c r="N83" s="100">
        <f>ноябрь!E48</f>
        <v>15247.51</v>
      </c>
      <c r="O83" s="100">
        <f>декабрь!E48</f>
        <v>14424.47</v>
      </c>
      <c r="P83" s="99">
        <f t="shared" si="25"/>
        <v>106771.93</v>
      </c>
      <c r="Q83" s="100">
        <f>Q29+Q25</f>
        <v>92086.61</v>
      </c>
      <c r="R83" s="122">
        <f t="shared" si="26"/>
        <v>14685.319999999992</v>
      </c>
    </row>
    <row r="84" spans="1:18" ht="15">
      <c r="A84" s="97" t="s">
        <v>58</v>
      </c>
      <c r="B84" s="98" t="s">
        <v>71</v>
      </c>
      <c r="C84" s="99"/>
      <c r="D84" s="99">
        <f>январь!E48</f>
        <v>0</v>
      </c>
      <c r="E84" s="99">
        <f>февраль!E48</f>
        <v>0</v>
      </c>
      <c r="F84" s="99">
        <f>март!E48</f>
        <v>0</v>
      </c>
      <c r="G84" s="99">
        <f>апрель!E49</f>
        <v>0</v>
      </c>
      <c r="H84" s="99">
        <f>май!E49</f>
        <v>8183.65</v>
      </c>
      <c r="I84" s="99">
        <f>июнь!E50</f>
        <v>7441.09</v>
      </c>
      <c r="J84" s="100">
        <f>июль!E50</f>
        <v>7002.44</v>
      </c>
      <c r="K84" s="100">
        <f>август!E50</f>
        <v>8840.41</v>
      </c>
      <c r="L84" s="100">
        <f>сентябрь!E49</f>
        <v>7688.38</v>
      </c>
      <c r="M84" s="100">
        <f>октябрь!E49</f>
        <v>9752.7</v>
      </c>
      <c r="N84" s="100">
        <f>ноябрь!E49</f>
        <v>10394.58</v>
      </c>
      <c r="O84" s="100">
        <f>декабрь!E49</f>
        <v>9733.19</v>
      </c>
      <c r="P84" s="99">
        <f t="shared" si="25"/>
        <v>69036.44</v>
      </c>
      <c r="Q84" s="100">
        <f>Q27+Q21</f>
        <v>51159.770000000004</v>
      </c>
      <c r="R84" s="122">
        <f t="shared" si="26"/>
        <v>17876.67</v>
      </c>
    </row>
    <row r="85" spans="1:18" ht="15">
      <c r="A85" s="97"/>
      <c r="B85" s="98" t="s">
        <v>39</v>
      </c>
      <c r="C85" s="99"/>
      <c r="D85" s="99">
        <f>январь!E49</f>
        <v>0</v>
      </c>
      <c r="E85" s="99">
        <f>февраль!E49</f>
        <v>0</v>
      </c>
      <c r="F85" s="99">
        <f>март!E49</f>
        <v>0</v>
      </c>
      <c r="G85" s="99">
        <f>апрель!E50</f>
        <v>0</v>
      </c>
      <c r="H85" s="99">
        <f>май!E50</f>
        <v>8784.12</v>
      </c>
      <c r="I85" s="99">
        <f>июнь!E51</f>
        <v>10136.21</v>
      </c>
      <c r="J85" s="100">
        <f>июль!E51</f>
        <v>6711.6</v>
      </c>
      <c r="K85" s="100">
        <f>август!E51</f>
        <v>9390.38</v>
      </c>
      <c r="L85" s="100">
        <f>сентябрь!E50</f>
        <v>9847.42</v>
      </c>
      <c r="M85" s="100">
        <f>октябрь!E50</f>
        <v>11623.59</v>
      </c>
      <c r="N85" s="100">
        <f>ноябрь!E50</f>
        <v>10776.92</v>
      </c>
      <c r="O85" s="100">
        <f>декабрь!E50</f>
        <v>9865.81</v>
      </c>
      <c r="P85" s="99">
        <f t="shared" si="25"/>
        <v>77136.04999999999</v>
      </c>
      <c r="Q85" s="100">
        <f>Q28+Q22</f>
        <v>52760.98</v>
      </c>
      <c r="R85" s="122">
        <f t="shared" si="26"/>
        <v>24375.069999999985</v>
      </c>
    </row>
    <row r="86" spans="1:19" s="89" customFormat="1" ht="14.25">
      <c r="A86" s="107"/>
      <c r="B86" s="86" t="s">
        <v>102</v>
      </c>
      <c r="C86" s="87">
        <f aca="true" t="shared" si="27" ref="C86:Q86">SUM(C81:C85)</f>
        <v>0</v>
      </c>
      <c r="D86" s="87">
        <f>SUM(D81:D85)</f>
        <v>0</v>
      </c>
      <c r="E86" s="87">
        <f t="shared" si="27"/>
        <v>0</v>
      </c>
      <c r="F86" s="87">
        <f t="shared" si="27"/>
        <v>0</v>
      </c>
      <c r="G86" s="87">
        <f t="shared" si="27"/>
        <v>0</v>
      </c>
      <c r="H86" s="87">
        <f t="shared" si="27"/>
        <v>100399.87</v>
      </c>
      <c r="I86" s="87">
        <f t="shared" si="27"/>
        <v>68744.89000000001</v>
      </c>
      <c r="J86" s="87">
        <f t="shared" si="27"/>
        <v>62400.32</v>
      </c>
      <c r="K86" s="87">
        <f t="shared" si="27"/>
        <v>68342.61</v>
      </c>
      <c r="L86" s="87">
        <f t="shared" si="27"/>
        <v>78279.75</v>
      </c>
      <c r="M86" s="87">
        <f t="shared" si="27"/>
        <v>136568.35</v>
      </c>
      <c r="N86" s="87">
        <f t="shared" si="27"/>
        <v>161423.02</v>
      </c>
      <c r="O86" s="87">
        <f t="shared" si="27"/>
        <v>201305.74</v>
      </c>
      <c r="P86" s="87">
        <f t="shared" si="25"/>
        <v>877464.55</v>
      </c>
      <c r="Q86" s="87">
        <f t="shared" si="27"/>
        <v>534432.54</v>
      </c>
      <c r="R86" s="125">
        <f t="shared" si="26"/>
        <v>343032.01</v>
      </c>
      <c r="S86" s="88"/>
    </row>
    <row r="87" spans="2:20" s="108" customFormat="1" ht="15">
      <c r="B87" s="108" t="s">
        <v>76</v>
      </c>
      <c r="C87" s="109">
        <f aca="true" t="shared" si="28" ref="C87:Q87">C32-C86</f>
        <v>0</v>
      </c>
      <c r="D87" s="109">
        <f t="shared" si="28"/>
        <v>0</v>
      </c>
      <c r="E87" s="109">
        <f t="shared" si="28"/>
        <v>0</v>
      </c>
      <c r="F87" s="109">
        <f t="shared" si="28"/>
        <v>0</v>
      </c>
      <c r="G87" s="109">
        <f t="shared" si="28"/>
        <v>0</v>
      </c>
      <c r="H87" s="109">
        <f t="shared" si="28"/>
        <v>8900.039999999994</v>
      </c>
      <c r="I87" s="109">
        <f t="shared" si="28"/>
        <v>867.4999999999854</v>
      </c>
      <c r="J87" s="109">
        <f t="shared" si="28"/>
        <v>46110.91999999999</v>
      </c>
      <c r="K87" s="109">
        <f t="shared" si="28"/>
        <v>-11032.559999999998</v>
      </c>
      <c r="L87" s="109">
        <f t="shared" si="28"/>
        <v>-8133.0199999999895</v>
      </c>
      <c r="M87" s="109">
        <f t="shared" si="28"/>
        <v>-37142.16</v>
      </c>
      <c r="N87" s="109">
        <f t="shared" si="28"/>
        <v>-10516.059999999998</v>
      </c>
      <c r="O87" s="109">
        <f t="shared" si="28"/>
        <v>11576.160000000033</v>
      </c>
      <c r="P87" s="109">
        <f t="shared" si="28"/>
        <v>630.8199999999488</v>
      </c>
      <c r="Q87" s="109">
        <f t="shared" si="28"/>
        <v>0</v>
      </c>
      <c r="R87" s="122">
        <f>C87+P87</f>
        <v>630.8199999999488</v>
      </c>
      <c r="S87" s="109"/>
      <c r="T87" s="109"/>
    </row>
    <row r="88" spans="1:22" s="89" customFormat="1" ht="14.25">
      <c r="A88" s="107"/>
      <c r="B88" s="86" t="s">
        <v>77</v>
      </c>
      <c r="C88" s="87">
        <f>C78+C86</f>
        <v>0</v>
      </c>
      <c r="D88" s="87">
        <f>D78+D86</f>
        <v>0</v>
      </c>
      <c r="E88" s="87">
        <f aca="true" t="shared" si="29" ref="E88:Q88">E78+E86</f>
        <v>0</v>
      </c>
      <c r="F88" s="87">
        <f t="shared" si="29"/>
        <v>0</v>
      </c>
      <c r="G88" s="87">
        <f t="shared" si="29"/>
        <v>0</v>
      </c>
      <c r="H88" s="87">
        <f t="shared" si="29"/>
        <v>157058.12</v>
      </c>
      <c r="I88" s="87">
        <f t="shared" si="29"/>
        <v>127509.11000000002</v>
      </c>
      <c r="J88" s="87">
        <f t="shared" si="29"/>
        <v>146902.78</v>
      </c>
      <c r="K88" s="87">
        <f t="shared" si="29"/>
        <v>157845.16999999998</v>
      </c>
      <c r="L88" s="87">
        <f t="shared" si="29"/>
        <v>143906.41999999998</v>
      </c>
      <c r="M88" s="87">
        <f t="shared" si="29"/>
        <v>201922.35</v>
      </c>
      <c r="N88" s="87">
        <f t="shared" si="29"/>
        <v>311463.92</v>
      </c>
      <c r="O88" s="87">
        <f t="shared" si="29"/>
        <v>310684.41000000003</v>
      </c>
      <c r="P88" s="87">
        <f t="shared" si="29"/>
        <v>1557292.28</v>
      </c>
      <c r="Q88" s="87">
        <f t="shared" si="29"/>
        <v>1133022.75</v>
      </c>
      <c r="R88" s="125">
        <f t="shared" si="26"/>
        <v>424269.53</v>
      </c>
      <c r="S88" s="88"/>
      <c r="V88" s="88">
        <v>1999832.440690475</v>
      </c>
    </row>
    <row r="89" spans="2:20" s="108" customFormat="1" ht="30">
      <c r="B89" s="111" t="s">
        <v>78</v>
      </c>
      <c r="C89" s="112"/>
      <c r="D89" s="112">
        <f aca="true" t="shared" si="30" ref="D89:O89">D79+D87</f>
        <v>0</v>
      </c>
      <c r="E89" s="112">
        <f t="shared" si="30"/>
        <v>0</v>
      </c>
      <c r="F89" s="112">
        <f t="shared" si="30"/>
        <v>0</v>
      </c>
      <c r="G89" s="112">
        <f t="shared" si="30"/>
        <v>0</v>
      </c>
      <c r="H89" s="112">
        <f t="shared" si="30"/>
        <v>36183.53999999999</v>
      </c>
      <c r="I89" s="112">
        <f t="shared" si="30"/>
        <v>41839.17999999998</v>
      </c>
      <c r="J89" s="112">
        <f t="shared" si="30"/>
        <v>45367.299999999996</v>
      </c>
      <c r="K89" s="112">
        <f t="shared" si="30"/>
        <v>-21615.390000000014</v>
      </c>
      <c r="L89" s="112">
        <f t="shared" si="30"/>
        <v>5194.539999999994</v>
      </c>
      <c r="M89" s="112">
        <f t="shared" si="30"/>
        <v>-59330.22</v>
      </c>
      <c r="N89" s="112">
        <f t="shared" si="30"/>
        <v>-83931.9</v>
      </c>
      <c r="O89" s="112">
        <f t="shared" si="30"/>
        <v>-34183.179999999986</v>
      </c>
      <c r="P89" s="112">
        <f>P87+P79</f>
        <v>-70476.13000000012</v>
      </c>
      <c r="Q89" s="112">
        <f>Q79+Q87</f>
        <v>-130301.78000000003</v>
      </c>
      <c r="R89" s="125"/>
      <c r="S89" s="109"/>
      <c r="T89" s="109"/>
    </row>
    <row r="90" spans="2:20" s="108" customFormat="1" ht="15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09"/>
      <c r="T90" s="109"/>
    </row>
    <row r="91" spans="2:19" ht="12.75">
      <c r="B91" s="102" t="s">
        <v>79</v>
      </c>
      <c r="C91" s="101"/>
      <c r="D91" s="101">
        <v>-3553.17</v>
      </c>
      <c r="E91" s="101">
        <v>-12212.52</v>
      </c>
      <c r="F91" s="101">
        <v>2746.0299999999843</v>
      </c>
      <c r="G91" s="101">
        <v>42622.84</v>
      </c>
      <c r="H91" s="101">
        <v>-4557.10000000002</v>
      </c>
      <c r="I91" s="101">
        <v>56521.76</v>
      </c>
      <c r="J91" s="101"/>
      <c r="K91" s="101"/>
      <c r="L91" s="101"/>
      <c r="M91" s="101"/>
      <c r="N91" s="101"/>
      <c r="O91" s="101"/>
      <c r="P91" s="101"/>
      <c r="Q91" s="101"/>
      <c r="R91" s="101"/>
      <c r="S91" s="102"/>
    </row>
    <row r="92" spans="2:19" ht="12.75">
      <c r="B92" s="102" t="s">
        <v>36</v>
      </c>
      <c r="C92" s="101"/>
      <c r="D92" s="101"/>
      <c r="E92" s="101"/>
      <c r="F92" s="101"/>
      <c r="G92" s="101"/>
      <c r="H92" s="101" t="s">
        <v>58</v>
      </c>
      <c r="I92" s="101"/>
      <c r="J92" s="101"/>
      <c r="K92" s="101"/>
      <c r="L92" s="101"/>
      <c r="M92" s="101"/>
      <c r="N92" s="101"/>
      <c r="O92" s="101"/>
      <c r="P92" s="109"/>
      <c r="Q92" s="109"/>
      <c r="R92" s="101"/>
      <c r="S92" s="102"/>
    </row>
    <row r="93" spans="2:19" ht="12.75">
      <c r="B93" s="102" t="s">
        <v>70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15"/>
      <c r="O93" s="115"/>
      <c r="P93" s="115"/>
      <c r="Q93" s="115"/>
      <c r="R93" s="115"/>
      <c r="S93" s="102"/>
    </row>
    <row r="94" spans="2:19" ht="12.75">
      <c r="B94" s="102" t="s">
        <v>80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15"/>
      <c r="O94" s="115"/>
      <c r="P94" s="115"/>
      <c r="Q94" s="115"/>
      <c r="R94" s="115"/>
      <c r="S94" s="102"/>
    </row>
    <row r="95" spans="2:19" ht="12.75">
      <c r="B95" s="102" t="s">
        <v>81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15"/>
      <c r="O95" s="115"/>
      <c r="P95" s="115"/>
      <c r="Q95" s="115"/>
      <c r="R95" s="115"/>
      <c r="S95" s="102"/>
    </row>
    <row r="96" spans="2:19" ht="12.75">
      <c r="B96" s="102" t="s">
        <v>82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15"/>
      <c r="O96" s="115"/>
      <c r="P96" s="115"/>
      <c r="Q96" s="115"/>
      <c r="R96" s="115"/>
      <c r="S96" s="102"/>
    </row>
    <row r="98" spans="2:3" ht="12.75">
      <c r="B98" s="102" t="s">
        <v>83</v>
      </c>
      <c r="C98" s="102" t="s">
        <v>84</v>
      </c>
    </row>
    <row r="99" spans="17:18" ht="12.75">
      <c r="Q99" s="101"/>
      <c r="R99" s="101"/>
    </row>
    <row r="100" spans="2:3" ht="12.75">
      <c r="B100" s="102" t="s">
        <v>85</v>
      </c>
      <c r="C100" s="102" t="s">
        <v>86</v>
      </c>
    </row>
    <row r="103" spans="2:10" ht="12.75">
      <c r="B103" s="102" t="s">
        <v>68</v>
      </c>
      <c r="J103" s="101" t="e">
        <f>P82-#REF!-P24-S13</f>
        <v>#REF!</v>
      </c>
    </row>
    <row r="104" ht="12.75">
      <c r="J104" s="116" t="e">
        <f>J103/2895.2</f>
        <v>#REF!</v>
      </c>
    </row>
    <row r="105" spans="2:10" ht="12.75">
      <c r="B105" s="102" t="s">
        <v>87</v>
      </c>
      <c r="J105" s="101" t="e">
        <f>P83-#REF!-P25</f>
        <v>#REF!</v>
      </c>
    </row>
  </sheetData>
  <sheetProtection/>
  <mergeCells count="5">
    <mergeCell ref="B80:C80"/>
    <mergeCell ref="B1:R1"/>
    <mergeCell ref="B20:C20"/>
    <mergeCell ref="B38:R38"/>
    <mergeCell ref="B39:C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4">
      <selection activeCell="F4" sqref="F4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1" width="9.140625" style="10" customWidth="1"/>
    <col min="12" max="12" width="9.421875" style="10" bestFit="1" customWidth="1"/>
    <col min="13" max="16384" width="9.140625" style="10" customWidth="1"/>
  </cols>
  <sheetData>
    <row r="1" spans="1:5" s="2" customFormat="1" ht="15">
      <c r="A1" s="182" t="s">
        <v>0</v>
      </c>
      <c r="B1" s="182"/>
      <c r="C1" s="1" t="s">
        <v>106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138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140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8"/>
      <c r="B14" s="168" t="s">
        <v>129</v>
      </c>
      <c r="C14" s="126"/>
      <c r="D14" s="28"/>
      <c r="E14" s="29"/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12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  <c r="L26" s="9">
        <f>G13+G15+G16+G17+G20+G22+G23+G24+G25+G26+G27+G37+G40+G41+E51</f>
        <v>0</v>
      </c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200" t="s">
        <v>118</v>
      </c>
      <c r="B28" s="201"/>
      <c r="C28" s="146"/>
      <c r="D28" s="30"/>
      <c r="E28" s="31">
        <f>E13+E15+E16+E17+E18+E19+E20+E21+E22+E23+E24+E25+E26+E27</f>
        <v>0</v>
      </c>
      <c r="F28" s="31">
        <f>F13+F15+F16+F17+F18+F19+F20+F21+F22+F23+F24+F25+F26+F27</f>
        <v>0</v>
      </c>
      <c r="G28" s="31">
        <f>G13+G15+G16+G17+G18+G19+G20+G21+G22+G23+G24+G25+G26+G27</f>
        <v>0</v>
      </c>
      <c r="H28" s="30"/>
      <c r="J28" s="9">
        <f>E13+E15+E16+E21+E22+E23+E24+E25+E26+E27</f>
        <v>0</v>
      </c>
    </row>
    <row r="29" spans="1:8" s="2" customFormat="1" ht="33.75" customHeight="1">
      <c r="A29" s="143" t="s">
        <v>119</v>
      </c>
      <c r="B29" s="198" t="s">
        <v>120</v>
      </c>
      <c r="C29" s="199"/>
      <c r="D29" s="199"/>
      <c r="E29" s="199"/>
      <c r="F29" s="199"/>
      <c r="G29" s="199"/>
      <c r="H29" s="117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9" t="s">
        <v>125</v>
      </c>
      <c r="C31" s="11" t="s">
        <v>12</v>
      </c>
      <c r="D31" s="15">
        <v>1</v>
      </c>
      <c r="E31" s="19">
        <f>E32+E33</f>
        <v>0</v>
      </c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9" t="s">
        <v>142</v>
      </c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9"/>
      <c r="C33" s="11"/>
      <c r="D33" s="15"/>
      <c r="E33" s="19"/>
      <c r="F33" s="19"/>
      <c r="G33" s="19">
        <f>E33+F33</f>
        <v>0</v>
      </c>
      <c r="H33" s="15"/>
      <c r="J33" s="164">
        <f>F28+F37</f>
        <v>0</v>
      </c>
    </row>
    <row r="34" spans="1:8" s="2" customFormat="1" ht="26.25" customHeight="1">
      <c r="A34" s="13" t="s">
        <v>26</v>
      </c>
      <c r="B34" s="119" t="s">
        <v>126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8"/>
      <c r="B35" s="159"/>
      <c r="C35" s="160"/>
      <c r="D35" s="15"/>
      <c r="E35" s="19"/>
      <c r="F35" s="19"/>
      <c r="G35" s="19">
        <f>E35+F35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200" t="s">
        <v>122</v>
      </c>
      <c r="B37" s="201"/>
      <c r="C37" s="202"/>
      <c r="D37" s="30"/>
      <c r="E37" s="31">
        <f>E31+E34</f>
        <v>0</v>
      </c>
      <c r="F37" s="31">
        <f>SUM(F31:F34)</f>
        <v>0</v>
      </c>
      <c r="G37" s="31">
        <f>G31+G34</f>
        <v>0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7" t="s">
        <v>131</v>
      </c>
      <c r="B40" s="127" t="s">
        <v>15</v>
      </c>
      <c r="C40" s="23" t="s">
        <v>12</v>
      </c>
      <c r="D40" s="22">
        <v>1</v>
      </c>
      <c r="E40" s="24"/>
      <c r="F40" s="24"/>
      <c r="G40" s="24">
        <f>E40+F40</f>
        <v>0</v>
      </c>
      <c r="H40" s="30"/>
    </row>
    <row r="41" spans="1:7" s="35" customFormat="1" ht="28.5">
      <c r="A41" s="39" t="s">
        <v>132</v>
      </c>
      <c r="B41" s="135" t="s">
        <v>34</v>
      </c>
      <c r="C41" s="34" t="s">
        <v>12</v>
      </c>
      <c r="D41" s="148">
        <v>1</v>
      </c>
      <c r="E41" s="149"/>
      <c r="F41" s="150"/>
      <c r="G41" s="24">
        <f>E41+F41</f>
        <v>0</v>
      </c>
    </row>
    <row r="42" spans="1:8" s="2" customFormat="1" ht="15">
      <c r="A42" s="151"/>
      <c r="B42" s="152" t="s">
        <v>123</v>
      </c>
      <c r="C42" s="153"/>
      <c r="D42" s="154"/>
      <c r="E42" s="155">
        <f>E28+E37+E40+E41</f>
        <v>0</v>
      </c>
      <c r="F42" s="155">
        <f>F28+F37+F40+F41</f>
        <v>0</v>
      </c>
      <c r="G42" s="155">
        <f>G28+G37+G40+G41</f>
        <v>0</v>
      </c>
      <c r="H42" s="30"/>
    </row>
    <row r="43" spans="1:7" s="33" customFormat="1" ht="15" customHeight="1">
      <c r="A43" s="190" t="s">
        <v>103</v>
      </c>
      <c r="B43" s="191"/>
      <c r="C43" s="191"/>
      <c r="D43" s="191"/>
      <c r="E43" s="191"/>
      <c r="F43" s="191"/>
      <c r="G43" s="192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3" t="s">
        <v>30</v>
      </c>
      <c r="G44" s="194"/>
    </row>
    <row r="45" spans="1:7" s="2" customFormat="1" ht="25.5" customHeight="1">
      <c r="A45" s="13"/>
      <c r="B45" s="27" t="s">
        <v>35</v>
      </c>
      <c r="C45" s="23" t="s">
        <v>12</v>
      </c>
      <c r="D45" s="22">
        <v>1</v>
      </c>
      <c r="E45" s="24"/>
      <c r="F45" s="24"/>
      <c r="G45" s="24"/>
    </row>
    <row r="46" spans="1:7" s="2" customFormat="1" ht="15">
      <c r="A46" s="13"/>
      <c r="B46" s="27" t="s">
        <v>36</v>
      </c>
      <c r="C46" s="23" t="s">
        <v>12</v>
      </c>
      <c r="D46" s="22">
        <v>1</v>
      </c>
      <c r="E46" s="24"/>
      <c r="F46" s="24"/>
      <c r="G46" s="24"/>
    </row>
    <row r="47" spans="1:7" s="2" customFormat="1" ht="15">
      <c r="A47" s="13"/>
      <c r="B47" s="27" t="s">
        <v>37</v>
      </c>
      <c r="C47" s="23" t="s">
        <v>12</v>
      </c>
      <c r="D47" s="22">
        <v>1</v>
      </c>
      <c r="E47" s="24"/>
      <c r="F47" s="24"/>
      <c r="G47" s="24"/>
    </row>
    <row r="48" spans="1:7" s="2" customFormat="1" ht="15">
      <c r="A48" s="13"/>
      <c r="B48" s="27" t="s">
        <v>38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39</v>
      </c>
      <c r="C49" s="23" t="s">
        <v>12</v>
      </c>
      <c r="D49" s="15">
        <v>1</v>
      </c>
      <c r="E49" s="24"/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5" t="s">
        <v>40</v>
      </c>
      <c r="B51" s="196"/>
      <c r="C51" s="197"/>
      <c r="D51" s="15"/>
      <c r="E51" s="24">
        <f>SUM(E45:E50)</f>
        <v>0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4" t="s">
        <v>9</v>
      </c>
      <c r="B57" s="204"/>
      <c r="C57" s="204"/>
      <c r="D57" s="204"/>
      <c r="E57" s="205">
        <f>G42+E51</f>
        <v>0</v>
      </c>
      <c r="F57" s="205"/>
      <c r="G57" s="205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6" t="s">
        <v>31</v>
      </c>
      <c r="B62" s="206"/>
      <c r="E62" s="2" t="s">
        <v>10</v>
      </c>
    </row>
    <row r="63" spans="1:5" s="2" customFormat="1" ht="15">
      <c r="A63" s="206" t="s">
        <v>1</v>
      </c>
      <c r="B63" s="206"/>
      <c r="E63" s="2" t="s">
        <v>106</v>
      </c>
    </row>
    <row r="64" spans="1:5" s="2" customFormat="1" ht="30" customHeight="1">
      <c r="A64" s="181" t="s">
        <v>144</v>
      </c>
      <c r="B64" s="181"/>
      <c r="C64" s="18"/>
      <c r="E64" s="2" t="s">
        <v>11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A64:B64"/>
    <mergeCell ref="A1:B1"/>
    <mergeCell ref="A3:E3"/>
    <mergeCell ref="A5:H5"/>
    <mergeCell ref="A6:H6"/>
    <mergeCell ref="A57:D57"/>
    <mergeCell ref="E57:G57"/>
    <mergeCell ref="A62:B62"/>
    <mergeCell ref="A63:B63"/>
    <mergeCell ref="B7:H7"/>
    <mergeCell ref="A43:G43"/>
    <mergeCell ref="F44:G44"/>
    <mergeCell ref="A51:C51"/>
    <mergeCell ref="B11:G11"/>
    <mergeCell ref="A28:B28"/>
    <mergeCell ref="B29:G29"/>
    <mergeCell ref="A37:C37"/>
  </mergeCells>
  <printOptions/>
  <pageMargins left="0.38" right="0.17" top="0.53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">
      <selection activeCell="E27" sqref="E27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7.140625" style="10" customWidth="1"/>
    <col min="9" max="16384" width="9.140625" style="10" customWidth="1"/>
  </cols>
  <sheetData>
    <row r="1" spans="1:5" s="2" customFormat="1" ht="15">
      <c r="A1" s="182" t="s">
        <v>0</v>
      </c>
      <c r="B1" s="182"/>
      <c r="C1" s="1" t="s">
        <v>106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137</v>
      </c>
      <c r="G3" s="1"/>
    </row>
    <row r="4" s="2" customFormat="1" ht="15">
      <c r="A4" s="36"/>
    </row>
    <row r="5" spans="1:8" s="2" customFormat="1" ht="18.75">
      <c r="A5" s="203" t="s">
        <v>139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145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8"/>
      <c r="B14" s="168" t="s">
        <v>129</v>
      </c>
      <c r="C14" s="126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200" t="s">
        <v>118</v>
      </c>
      <c r="B28" s="201"/>
      <c r="C28" s="146"/>
      <c r="D28" s="30"/>
      <c r="E28" s="31">
        <f>E13+E15+E16+E17+E18+E19+E20+E21+E22+E23+E24+E25+E26+E27</f>
        <v>0</v>
      </c>
      <c r="F28" s="31">
        <f>F13+F15+F16+F17+F18+F19+F20+F21+F22+F23+F24+F25+F26+F27</f>
        <v>0</v>
      </c>
      <c r="G28" s="31">
        <f>G13+G15+G16+G17+G18+G19+G20+G21+G22+G23+G24+G25+G26+G27</f>
        <v>0</v>
      </c>
      <c r="H28" s="30"/>
      <c r="J28" s="9">
        <f>E13+E15+E16+E21+E22+E23+E24+E25+E26+E27</f>
        <v>0</v>
      </c>
    </row>
    <row r="29" spans="1:8" s="2" customFormat="1" ht="33.75" customHeight="1">
      <c r="A29" s="143" t="s">
        <v>119</v>
      </c>
      <c r="B29" s="198" t="s">
        <v>120</v>
      </c>
      <c r="C29" s="199"/>
      <c r="D29" s="199"/>
      <c r="E29" s="199"/>
      <c r="F29" s="199"/>
      <c r="G29" s="199"/>
      <c r="H29" s="117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9" t="s">
        <v>125</v>
      </c>
      <c r="C31" s="11" t="s">
        <v>12</v>
      </c>
      <c r="D31" s="15">
        <v>1</v>
      </c>
      <c r="E31" s="19">
        <f>E32+E33</f>
        <v>0</v>
      </c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9" t="s">
        <v>142</v>
      </c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9"/>
      <c r="C33" s="11"/>
      <c r="D33" s="15"/>
      <c r="E33" s="19"/>
      <c r="F33" s="19"/>
      <c r="G33" s="19">
        <f>E33+F33</f>
        <v>0</v>
      </c>
      <c r="H33" s="15"/>
      <c r="J33" s="164">
        <f>F28+F37</f>
        <v>0</v>
      </c>
    </row>
    <row r="34" spans="1:8" s="2" customFormat="1" ht="26.25" customHeight="1">
      <c r="A34" s="13" t="s">
        <v>26</v>
      </c>
      <c r="B34" s="119" t="s">
        <v>126</v>
      </c>
      <c r="C34" s="11" t="s">
        <v>12</v>
      </c>
      <c r="D34" s="15">
        <v>1</v>
      </c>
      <c r="E34" s="19"/>
      <c r="F34" s="19">
        <v>0</v>
      </c>
      <c r="G34" s="19">
        <f>G35+G36</f>
        <v>0</v>
      </c>
      <c r="H34" s="15"/>
    </row>
    <row r="35" spans="1:8" s="2" customFormat="1" ht="15">
      <c r="A35" s="158"/>
      <c r="B35" s="119" t="s">
        <v>146</v>
      </c>
      <c r="C35" s="11"/>
      <c r="D35" s="15"/>
      <c r="E35" s="19"/>
      <c r="F35" s="19"/>
      <c r="G35" s="19">
        <f>E35+F35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200" t="s">
        <v>122</v>
      </c>
      <c r="B37" s="201"/>
      <c r="C37" s="202"/>
      <c r="D37" s="30"/>
      <c r="E37" s="31">
        <f>E31+E34</f>
        <v>0</v>
      </c>
      <c r="F37" s="31">
        <f>SUM(F31:F34)</f>
        <v>0</v>
      </c>
      <c r="G37" s="31">
        <f>G31+G34</f>
        <v>0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7" t="s">
        <v>131</v>
      </c>
      <c r="B40" s="127" t="s">
        <v>15</v>
      </c>
      <c r="C40" s="23" t="s">
        <v>12</v>
      </c>
      <c r="D40" s="22">
        <v>1</v>
      </c>
      <c r="E40" s="24"/>
      <c r="F40" s="24"/>
      <c r="G40" s="24">
        <f>E40+F40</f>
        <v>0</v>
      </c>
      <c r="H40" s="30"/>
    </row>
    <row r="41" spans="1:7" s="35" customFormat="1" ht="28.5">
      <c r="A41" s="39" t="s">
        <v>132</v>
      </c>
      <c r="B41" s="135" t="s">
        <v>34</v>
      </c>
      <c r="C41" s="34" t="s">
        <v>12</v>
      </c>
      <c r="D41" s="148">
        <v>1</v>
      </c>
      <c r="E41" s="149"/>
      <c r="F41" s="150"/>
      <c r="G41" s="24">
        <f>E41+F41</f>
        <v>0</v>
      </c>
    </row>
    <row r="42" spans="1:8" s="2" customFormat="1" ht="15">
      <c r="A42" s="151"/>
      <c r="B42" s="152" t="s">
        <v>123</v>
      </c>
      <c r="C42" s="153"/>
      <c r="D42" s="154"/>
      <c r="E42" s="155">
        <f>E28+E37+E40+E41</f>
        <v>0</v>
      </c>
      <c r="F42" s="155">
        <f>F28+F37+F40+F41</f>
        <v>0</v>
      </c>
      <c r="G42" s="155">
        <f>G28+G37+G40+G41</f>
        <v>0</v>
      </c>
      <c r="H42" s="30"/>
    </row>
    <row r="43" spans="1:7" s="33" customFormat="1" ht="15" customHeight="1">
      <c r="A43" s="190" t="s">
        <v>103</v>
      </c>
      <c r="B43" s="191"/>
      <c r="C43" s="191"/>
      <c r="D43" s="191"/>
      <c r="E43" s="191"/>
      <c r="F43" s="191"/>
      <c r="G43" s="192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3" t="s">
        <v>30</v>
      </c>
      <c r="G44" s="194"/>
    </row>
    <row r="45" spans="1:7" s="2" customFormat="1" ht="25.5" customHeight="1">
      <c r="A45" s="13"/>
      <c r="B45" s="27" t="s">
        <v>35</v>
      </c>
      <c r="C45" s="23" t="s">
        <v>12</v>
      </c>
      <c r="D45" s="22">
        <v>1</v>
      </c>
      <c r="E45" s="24"/>
      <c r="F45" s="24"/>
      <c r="G45" s="24"/>
    </row>
    <row r="46" spans="1:7" s="2" customFormat="1" ht="15">
      <c r="A46" s="13"/>
      <c r="B46" s="27" t="s">
        <v>36</v>
      </c>
      <c r="C46" s="23" t="s">
        <v>12</v>
      </c>
      <c r="D46" s="22">
        <v>1</v>
      </c>
      <c r="E46" s="24"/>
      <c r="F46" s="24"/>
      <c r="G46" s="24"/>
    </row>
    <row r="47" spans="1:7" s="2" customFormat="1" ht="15">
      <c r="A47" s="13"/>
      <c r="B47" s="27" t="s">
        <v>37</v>
      </c>
      <c r="C47" s="23" t="s">
        <v>12</v>
      </c>
      <c r="D47" s="22">
        <v>1</v>
      </c>
      <c r="E47" s="24"/>
      <c r="F47" s="24"/>
      <c r="G47" s="24"/>
    </row>
    <row r="48" spans="1:7" s="2" customFormat="1" ht="15">
      <c r="A48" s="13"/>
      <c r="B48" s="27" t="s">
        <v>38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39</v>
      </c>
      <c r="C49" s="23" t="s">
        <v>12</v>
      </c>
      <c r="D49" s="15">
        <v>1</v>
      </c>
      <c r="E49" s="24"/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5" t="s">
        <v>40</v>
      </c>
      <c r="B51" s="196"/>
      <c r="C51" s="197"/>
      <c r="D51" s="15"/>
      <c r="E51" s="24">
        <f>SUM(E45:E50)</f>
        <v>0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4" t="s">
        <v>9</v>
      </c>
      <c r="B57" s="204"/>
      <c r="C57" s="204"/>
      <c r="D57" s="204"/>
      <c r="E57" s="205">
        <f>G42+E51</f>
        <v>0</v>
      </c>
      <c r="F57" s="205"/>
      <c r="G57" s="205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6" t="s">
        <v>31</v>
      </c>
      <c r="B62" s="206"/>
      <c r="E62" s="2" t="s">
        <v>10</v>
      </c>
    </row>
    <row r="63" spans="1:5" s="2" customFormat="1" ht="15">
      <c r="A63" s="206" t="s">
        <v>1</v>
      </c>
      <c r="B63" s="206"/>
      <c r="E63" s="2" t="s">
        <v>106</v>
      </c>
    </row>
    <row r="64" spans="1:5" s="2" customFormat="1" ht="30" customHeight="1">
      <c r="A64" s="181" t="s">
        <v>144</v>
      </c>
      <c r="B64" s="181"/>
      <c r="C64" s="18"/>
      <c r="E64" s="2" t="s">
        <v>11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E57:G57"/>
    <mergeCell ref="A63:B63"/>
    <mergeCell ref="A64:B64"/>
    <mergeCell ref="A28:B28"/>
    <mergeCell ref="B29:G29"/>
    <mergeCell ref="A37:C37"/>
    <mergeCell ref="A43:G43"/>
    <mergeCell ref="A62:B62"/>
    <mergeCell ref="A51:C51"/>
    <mergeCell ref="A57:D57"/>
    <mergeCell ref="B7:H7"/>
    <mergeCell ref="B11:G11"/>
    <mergeCell ref="F44:G44"/>
    <mergeCell ref="A1:B1"/>
    <mergeCell ref="A3:E3"/>
    <mergeCell ref="A5:H5"/>
    <mergeCell ref="A6:H6"/>
  </mergeCells>
  <printOptions/>
  <pageMargins left="0.38" right="0.33" top="0.53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7">
      <selection activeCell="F4" sqref="F4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2" t="s">
        <v>0</v>
      </c>
      <c r="B1" s="182"/>
      <c r="C1" s="1" t="s">
        <v>106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152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153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8"/>
      <c r="B14" s="168" t="s">
        <v>129</v>
      </c>
      <c r="C14" s="126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200" t="s">
        <v>118</v>
      </c>
      <c r="B28" s="201"/>
      <c r="C28" s="146"/>
      <c r="D28" s="30"/>
      <c r="E28" s="31">
        <f>E13+E15+E16+E17+E18+E19+E20+E21+E22+E23+E24+E25+E26+E27</f>
        <v>0</v>
      </c>
      <c r="F28" s="31">
        <f>F13+F15+F16+F17+F18+F19+F20+F21+F22+F23+F24+F25+F26+F27</f>
        <v>0</v>
      </c>
      <c r="G28" s="31">
        <f>G13+G15+G16+G17+G18+G19+G20+G21+G22+G23+G24+G25+G26+G27</f>
        <v>0</v>
      </c>
      <c r="H28" s="30"/>
      <c r="J28" s="9">
        <f>E13+E15+E16+E21+E22+E23+E24+E25+E26+E27</f>
        <v>0</v>
      </c>
    </row>
    <row r="29" spans="1:8" s="2" customFormat="1" ht="33.75" customHeight="1">
      <c r="A29" s="143" t="s">
        <v>119</v>
      </c>
      <c r="B29" s="198" t="s">
        <v>120</v>
      </c>
      <c r="C29" s="199"/>
      <c r="D29" s="199"/>
      <c r="E29" s="199"/>
      <c r="F29" s="199"/>
      <c r="G29" s="199"/>
      <c r="H29" s="117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9" t="s">
        <v>125</v>
      </c>
      <c r="C31" s="11" t="s">
        <v>12</v>
      </c>
      <c r="D31" s="15">
        <v>1</v>
      </c>
      <c r="E31" s="19"/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9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9"/>
      <c r="C33" s="11"/>
      <c r="D33" s="15"/>
      <c r="E33" s="19"/>
      <c r="F33" s="19"/>
      <c r="G33" s="19">
        <f>E33+F33</f>
        <v>0</v>
      </c>
      <c r="H33" s="15"/>
      <c r="J33" s="164">
        <f>F28+F37</f>
        <v>0</v>
      </c>
    </row>
    <row r="34" spans="1:8" s="2" customFormat="1" ht="26.25" customHeight="1">
      <c r="A34" s="13" t="s">
        <v>26</v>
      </c>
      <c r="B34" s="119" t="s">
        <v>126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8"/>
      <c r="B35" s="159"/>
      <c r="C35" s="160"/>
      <c r="D35" s="15"/>
      <c r="E35" s="19"/>
      <c r="F35" s="19"/>
      <c r="G35" s="19">
        <f>E35+F35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200" t="s">
        <v>122</v>
      </c>
      <c r="B37" s="201"/>
      <c r="C37" s="202"/>
      <c r="D37" s="30"/>
      <c r="E37" s="31">
        <f>E31+E34</f>
        <v>0</v>
      </c>
      <c r="F37" s="31">
        <f>SUM(F31:F34)</f>
        <v>0</v>
      </c>
      <c r="G37" s="31">
        <f>G31+G34</f>
        <v>0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7" t="s">
        <v>131</v>
      </c>
      <c r="B40" s="127" t="s">
        <v>15</v>
      </c>
      <c r="C40" s="23" t="s">
        <v>12</v>
      </c>
      <c r="D40" s="22">
        <v>1</v>
      </c>
      <c r="E40" s="24"/>
      <c r="F40" s="24"/>
      <c r="G40" s="24">
        <f>E40+F40</f>
        <v>0</v>
      </c>
      <c r="H40" s="30"/>
    </row>
    <row r="41" spans="1:7" s="35" customFormat="1" ht="28.5">
      <c r="A41" s="39" t="s">
        <v>132</v>
      </c>
      <c r="B41" s="135" t="s">
        <v>34</v>
      </c>
      <c r="C41" s="34" t="s">
        <v>12</v>
      </c>
      <c r="D41" s="148">
        <v>1</v>
      </c>
      <c r="E41" s="149"/>
      <c r="F41" s="150"/>
      <c r="G41" s="24">
        <f>E41+F41</f>
        <v>0</v>
      </c>
    </row>
    <row r="42" spans="1:8" s="2" customFormat="1" ht="15">
      <c r="A42" s="151"/>
      <c r="B42" s="152" t="s">
        <v>123</v>
      </c>
      <c r="C42" s="153"/>
      <c r="D42" s="154"/>
      <c r="E42" s="155">
        <f>E28+E37+E40+E41</f>
        <v>0</v>
      </c>
      <c r="F42" s="155">
        <f>F28+F37+F40+F41</f>
        <v>0</v>
      </c>
      <c r="G42" s="155">
        <f>G28+G37+G40+G41</f>
        <v>0</v>
      </c>
      <c r="H42" s="30"/>
    </row>
    <row r="43" spans="1:7" s="33" customFormat="1" ht="15" customHeight="1">
      <c r="A43" s="190" t="s">
        <v>103</v>
      </c>
      <c r="B43" s="191"/>
      <c r="C43" s="191"/>
      <c r="D43" s="191"/>
      <c r="E43" s="191"/>
      <c r="F43" s="191"/>
      <c r="G43" s="192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3" t="s">
        <v>30</v>
      </c>
      <c r="G44" s="194"/>
    </row>
    <row r="45" spans="1:7" s="2" customFormat="1" ht="25.5" customHeight="1">
      <c r="A45" s="13"/>
      <c r="B45" s="27" t="s">
        <v>35</v>
      </c>
      <c r="C45" s="23" t="s">
        <v>12</v>
      </c>
      <c r="D45" s="22">
        <v>1</v>
      </c>
      <c r="E45" s="24"/>
      <c r="F45" s="24"/>
      <c r="G45" s="24"/>
    </row>
    <row r="46" spans="1:7" s="2" customFormat="1" ht="15">
      <c r="A46" s="13"/>
      <c r="B46" s="27" t="s">
        <v>36</v>
      </c>
      <c r="C46" s="23" t="s">
        <v>12</v>
      </c>
      <c r="D46" s="22">
        <v>1</v>
      </c>
      <c r="E46" s="24"/>
      <c r="F46" s="24"/>
      <c r="G46" s="24"/>
    </row>
    <row r="47" spans="1:7" s="2" customFormat="1" ht="15">
      <c r="A47" s="13"/>
      <c r="B47" s="27" t="s">
        <v>37</v>
      </c>
      <c r="C47" s="23" t="s">
        <v>12</v>
      </c>
      <c r="D47" s="22">
        <v>1</v>
      </c>
      <c r="E47" s="24"/>
      <c r="F47" s="24"/>
      <c r="G47" s="24"/>
    </row>
    <row r="48" spans="1:7" s="2" customFormat="1" ht="15">
      <c r="A48" s="13"/>
      <c r="B48" s="27" t="s">
        <v>38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39</v>
      </c>
      <c r="C49" s="23" t="s">
        <v>12</v>
      </c>
      <c r="D49" s="15">
        <v>1</v>
      </c>
      <c r="E49" s="24"/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5" t="s">
        <v>40</v>
      </c>
      <c r="B51" s="196"/>
      <c r="C51" s="197"/>
      <c r="D51" s="15"/>
      <c r="E51" s="24">
        <f>SUM(E45:E50)</f>
        <v>0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4" t="s">
        <v>9</v>
      </c>
      <c r="B57" s="204"/>
      <c r="C57" s="204"/>
      <c r="D57" s="204"/>
      <c r="E57" s="205">
        <f>G42+E51</f>
        <v>0</v>
      </c>
      <c r="F57" s="205"/>
      <c r="G57" s="205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6" t="s">
        <v>31</v>
      </c>
      <c r="B62" s="206"/>
      <c r="E62" s="2" t="s">
        <v>10</v>
      </c>
    </row>
    <row r="63" spans="1:5" s="2" customFormat="1" ht="15">
      <c r="A63" s="206" t="s">
        <v>1</v>
      </c>
      <c r="B63" s="206"/>
      <c r="E63" s="2" t="s">
        <v>106</v>
      </c>
    </row>
    <row r="64" spans="1:5" s="2" customFormat="1" ht="30" customHeight="1">
      <c r="A64" s="181" t="s">
        <v>144</v>
      </c>
      <c r="B64" s="181"/>
      <c r="C64" s="18"/>
      <c r="E64" s="2" t="s">
        <v>11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A63:B63"/>
    <mergeCell ref="A64:B64"/>
    <mergeCell ref="A43:G43"/>
    <mergeCell ref="F44:G44"/>
    <mergeCell ref="A51:C51"/>
    <mergeCell ref="A57:D57"/>
    <mergeCell ref="E57:G57"/>
    <mergeCell ref="B7:H7"/>
    <mergeCell ref="B11:G11"/>
    <mergeCell ref="A62:B62"/>
    <mergeCell ref="A1:B1"/>
    <mergeCell ref="A3:E3"/>
    <mergeCell ref="A5:H5"/>
    <mergeCell ref="A6:H6"/>
    <mergeCell ref="A28:B28"/>
    <mergeCell ref="B29:G29"/>
    <mergeCell ref="A37:C37"/>
  </mergeCells>
  <printOptions/>
  <pageMargins left="0.23" right="0.17" top="0.6299212598425197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0">
      <selection activeCell="J56" sqref="J56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2" t="s">
        <v>0</v>
      </c>
      <c r="B1" s="182"/>
      <c r="C1" s="1" t="s">
        <v>106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155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154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/>
      <c r="F13" s="19"/>
      <c r="G13" s="19">
        <f aca="true" t="shared" si="0" ref="G13:G28">E13+F13</f>
        <v>0</v>
      </c>
      <c r="H13" s="15"/>
    </row>
    <row r="14" spans="1:8" s="4" customFormat="1" ht="15">
      <c r="A14" s="38"/>
      <c r="B14" s="168" t="s">
        <v>129</v>
      </c>
      <c r="C14" s="126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8" s="2" customFormat="1" ht="15">
      <c r="A28" s="158"/>
      <c r="B28" s="172"/>
      <c r="C28" s="160"/>
      <c r="D28" s="15"/>
      <c r="E28" s="19"/>
      <c r="F28" s="19"/>
      <c r="G28" s="19">
        <f t="shared" si="0"/>
        <v>0</v>
      </c>
      <c r="H28" s="15"/>
    </row>
    <row r="29" spans="1:10" s="2" customFormat="1" ht="17.25" customHeight="1">
      <c r="A29" s="200" t="s">
        <v>118</v>
      </c>
      <c r="B29" s="201"/>
      <c r="C29" s="146"/>
      <c r="D29" s="30"/>
      <c r="E29" s="31">
        <f>E13+E15+E16+E17+E18+E19+E20+E21+E22+E23+E24+E25+E26+E27+E28</f>
        <v>0</v>
      </c>
      <c r="F29" s="31">
        <f>F13+F15+F16+F17+F18+F19+F20+F21+F22+F23+F24+F25+F26+F27</f>
        <v>0</v>
      </c>
      <c r="G29" s="31">
        <f>G13+G15+G16+G17+G18+G19+G20+G21+G22+G23+G24+G25+G26+G27+G28</f>
        <v>0</v>
      </c>
      <c r="H29" s="30"/>
      <c r="J29" s="9">
        <f>E13+E15+E16+E21+E22+E23+E24+E25+E26+E27</f>
        <v>0</v>
      </c>
    </row>
    <row r="30" spans="1:8" s="2" customFormat="1" ht="33.75" customHeight="1">
      <c r="A30" s="143" t="s">
        <v>119</v>
      </c>
      <c r="B30" s="198" t="s">
        <v>120</v>
      </c>
      <c r="C30" s="199"/>
      <c r="D30" s="199"/>
      <c r="E30" s="199"/>
      <c r="F30" s="199"/>
      <c r="G30" s="199"/>
      <c r="H30" s="117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9" t="s">
        <v>125</v>
      </c>
      <c r="C32" s="11" t="s">
        <v>12</v>
      </c>
      <c r="D32" s="15">
        <v>1</v>
      </c>
      <c r="E32" s="19">
        <f>E33+E34</f>
        <v>0</v>
      </c>
      <c r="F32" s="19">
        <f>F33+F34</f>
        <v>0</v>
      </c>
      <c r="G32" s="19">
        <f>G33+G34</f>
        <v>0</v>
      </c>
      <c r="H32" s="15"/>
    </row>
    <row r="33" spans="1:8" s="2" customFormat="1" ht="15">
      <c r="A33" s="13"/>
      <c r="B33" s="119"/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  <c r="J34" s="164">
        <f>F29+F38</f>
        <v>0</v>
      </c>
    </row>
    <row r="35" spans="1:8" s="2" customFormat="1" ht="26.25" customHeight="1">
      <c r="A35" s="13" t="s">
        <v>26</v>
      </c>
      <c r="B35" s="119" t="s">
        <v>126</v>
      </c>
      <c r="C35" s="11" t="s">
        <v>12</v>
      </c>
      <c r="D35" s="15">
        <v>1</v>
      </c>
      <c r="E35" s="19">
        <f>E36+E37</f>
        <v>0</v>
      </c>
      <c r="F35" s="19">
        <v>0</v>
      </c>
      <c r="G35" s="19">
        <f>G36+G37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200" t="s">
        <v>122</v>
      </c>
      <c r="B38" s="201"/>
      <c r="C38" s="202"/>
      <c r="D38" s="30"/>
      <c r="E38" s="31">
        <f>E32+E35</f>
        <v>0</v>
      </c>
      <c r="F38" s="31">
        <f>SUM(F32:F35)</f>
        <v>0</v>
      </c>
      <c r="G38" s="31">
        <f>G32+G35</f>
        <v>0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7" t="s">
        <v>131</v>
      </c>
      <c r="B41" s="127" t="s">
        <v>15</v>
      </c>
      <c r="C41" s="23" t="s">
        <v>12</v>
      </c>
      <c r="D41" s="22">
        <v>1</v>
      </c>
      <c r="E41" s="24"/>
      <c r="F41" s="24"/>
      <c r="G41" s="24">
        <f>E41+F41</f>
        <v>0</v>
      </c>
      <c r="H41" s="30"/>
    </row>
    <row r="42" spans="1:7" s="35" customFormat="1" ht="28.5">
      <c r="A42" s="39" t="s">
        <v>132</v>
      </c>
      <c r="B42" s="135" t="s">
        <v>34</v>
      </c>
      <c r="C42" s="34" t="s">
        <v>12</v>
      </c>
      <c r="D42" s="148">
        <v>1</v>
      </c>
      <c r="E42" s="149"/>
      <c r="F42" s="150"/>
      <c r="G42" s="24">
        <f>E42+F42</f>
        <v>0</v>
      </c>
    </row>
    <row r="43" spans="1:8" s="2" customFormat="1" ht="15">
      <c r="A43" s="151"/>
      <c r="B43" s="152" t="s">
        <v>123</v>
      </c>
      <c r="C43" s="153"/>
      <c r="D43" s="154"/>
      <c r="E43" s="155">
        <f>E29+E38+E41+E42</f>
        <v>0</v>
      </c>
      <c r="F43" s="155">
        <f>F29+F38+F41+F42</f>
        <v>0</v>
      </c>
      <c r="G43" s="155">
        <f>G29+G38+G41+G42</f>
        <v>0</v>
      </c>
      <c r="H43" s="30"/>
    </row>
    <row r="44" spans="1:7" s="33" customFormat="1" ht="15" customHeight="1">
      <c r="A44" s="190" t="s">
        <v>103</v>
      </c>
      <c r="B44" s="191"/>
      <c r="C44" s="191"/>
      <c r="D44" s="191"/>
      <c r="E44" s="191"/>
      <c r="F44" s="191"/>
      <c r="G44" s="192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3" t="s">
        <v>30</v>
      </c>
      <c r="G45" s="194"/>
    </row>
    <row r="46" spans="1:7" s="2" customFormat="1" ht="25.5" customHeight="1">
      <c r="A46" s="13"/>
      <c r="B46" s="27" t="s">
        <v>35</v>
      </c>
      <c r="C46" s="23" t="s">
        <v>12</v>
      </c>
      <c r="D46" s="22">
        <v>1</v>
      </c>
      <c r="E46" s="24"/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/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22">
        <v>1</v>
      </c>
      <c r="E49" s="24"/>
      <c r="F49" s="24"/>
      <c r="G49" s="24"/>
    </row>
    <row r="50" spans="1:7" s="2" customFormat="1" ht="15">
      <c r="A50" s="13"/>
      <c r="B50" s="27" t="s">
        <v>39</v>
      </c>
      <c r="C50" s="23" t="s">
        <v>12</v>
      </c>
      <c r="D50" s="15">
        <v>1</v>
      </c>
      <c r="E50" s="24"/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5" t="s">
        <v>40</v>
      </c>
      <c r="B52" s="196"/>
      <c r="C52" s="197"/>
      <c r="D52" s="15"/>
      <c r="E52" s="24">
        <f>SUM(E46:E51)</f>
        <v>0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4" t="s">
        <v>9</v>
      </c>
      <c r="B58" s="204"/>
      <c r="C58" s="204"/>
      <c r="D58" s="204"/>
      <c r="E58" s="205">
        <f>G43+E52</f>
        <v>0</v>
      </c>
      <c r="F58" s="205"/>
      <c r="G58" s="205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6" t="s">
        <v>31</v>
      </c>
      <c r="B63" s="206"/>
      <c r="E63" s="2" t="s">
        <v>10</v>
      </c>
    </row>
    <row r="64" spans="1:5" s="2" customFormat="1" ht="15">
      <c r="A64" s="206" t="s">
        <v>1</v>
      </c>
      <c r="B64" s="206"/>
      <c r="E64" s="2" t="s">
        <v>106</v>
      </c>
    </row>
    <row r="65" spans="1:5" s="2" customFormat="1" ht="30" customHeight="1">
      <c r="A65" s="181"/>
      <c r="B65" s="181"/>
      <c r="C65" s="18"/>
      <c r="E65" s="2" t="s">
        <v>11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A64:B64"/>
    <mergeCell ref="A65:B65"/>
    <mergeCell ref="A44:G44"/>
    <mergeCell ref="F45:G45"/>
    <mergeCell ref="A52:C52"/>
    <mergeCell ref="A58:D58"/>
    <mergeCell ref="E58:G58"/>
    <mergeCell ref="A63:B63"/>
    <mergeCell ref="A1:B1"/>
    <mergeCell ref="A3:E3"/>
    <mergeCell ref="A5:H5"/>
    <mergeCell ref="A6:H6"/>
    <mergeCell ref="A38:C38"/>
    <mergeCell ref="B7:H7"/>
    <mergeCell ref="B11:G11"/>
    <mergeCell ref="A29:B29"/>
    <mergeCell ref="B30:G30"/>
  </mergeCells>
  <printOptions/>
  <pageMargins left="0.24" right="0.18" top="0.37" bottom="0.75" header="0.25" footer="0.2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1">
      <selection activeCell="E41" sqref="E41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5.7109375" style="10" customWidth="1"/>
    <col min="9" max="16384" width="9.140625" style="10" customWidth="1"/>
  </cols>
  <sheetData>
    <row r="1" spans="1:5" s="2" customFormat="1" ht="15">
      <c r="A1" s="182" t="s">
        <v>0</v>
      </c>
      <c r="B1" s="182"/>
      <c r="C1" s="1" t="s">
        <v>158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163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143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4141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>
        <v>11636.21</v>
      </c>
      <c r="F13" s="19"/>
      <c r="G13" s="19">
        <f aca="true" t="shared" si="0" ref="G13:G28">E13+F13</f>
        <v>11636.21</v>
      </c>
      <c r="H13" s="15"/>
    </row>
    <row r="14" spans="1:8" s="4" customFormat="1" ht="15">
      <c r="A14" s="38"/>
      <c r="B14" s="168" t="s">
        <v>129</v>
      </c>
      <c r="C14" s="126"/>
      <c r="D14" s="28"/>
      <c r="E14" s="29"/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>
        <v>3751.75</v>
      </c>
      <c r="F15" s="19"/>
      <c r="G15" s="19">
        <f t="shared" si="0"/>
        <v>3751.75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>
        <v>780.98</v>
      </c>
      <c r="F16" s="19"/>
      <c r="G16" s="19">
        <f t="shared" si="0"/>
        <v>780.98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601.93</v>
      </c>
      <c r="F19" s="19"/>
      <c r="G19" s="19">
        <f t="shared" si="0"/>
        <v>601.93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>
        <v>2981.52</v>
      </c>
      <c r="F22" s="19">
        <v>102</v>
      </c>
      <c r="G22" s="19">
        <f t="shared" si="0"/>
        <v>3083.52</v>
      </c>
      <c r="H22" s="15"/>
    </row>
    <row r="23" spans="1:8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>
        <v>6025.16</v>
      </c>
      <c r="F23" s="19">
        <v>1462</v>
      </c>
      <c r="G23" s="19">
        <f t="shared" si="0"/>
        <v>7487.16</v>
      </c>
      <c r="H23" s="15"/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>
        <v>7702.26</v>
      </c>
      <c r="F24" s="19"/>
      <c r="G24" s="19">
        <f t="shared" si="0"/>
        <v>7702.26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>
        <v>9416.63</v>
      </c>
      <c r="F25" s="19"/>
      <c r="G25" s="19">
        <f t="shared" si="0"/>
        <v>9416.63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9">
        <v>1656.4</v>
      </c>
      <c r="F26" s="19"/>
      <c r="G26" s="19">
        <f t="shared" si="0"/>
        <v>1656.4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>
        <v>869.61</v>
      </c>
      <c r="F27" s="19"/>
      <c r="G27" s="19">
        <f t="shared" si="0"/>
        <v>869.61</v>
      </c>
      <c r="H27" s="15"/>
    </row>
    <row r="28" spans="1:8" s="2" customFormat="1" ht="15">
      <c r="A28" s="158"/>
      <c r="B28" s="172" t="s">
        <v>33</v>
      </c>
      <c r="C28" s="160"/>
      <c r="D28" s="15"/>
      <c r="E28" s="19">
        <v>2236</v>
      </c>
      <c r="F28" s="19"/>
      <c r="G28" s="19">
        <f t="shared" si="0"/>
        <v>2236</v>
      </c>
      <c r="H28" s="15"/>
    </row>
    <row r="29" spans="1:10" s="2" customFormat="1" ht="17.25" customHeight="1">
      <c r="A29" s="200" t="s">
        <v>118</v>
      </c>
      <c r="B29" s="201"/>
      <c r="C29" s="146"/>
      <c r="D29" s="30"/>
      <c r="E29" s="31">
        <f>E13+E15+E16+E17+E18+E19+E20+E21+E22+E23+E24+E25+E26+E27+E28</f>
        <v>47658.45</v>
      </c>
      <c r="F29" s="31">
        <f>F13+F15+F16+F17+F18+F19+F20+F21+F22+F23+F24+F25+F26+F27</f>
        <v>1564</v>
      </c>
      <c r="G29" s="31">
        <f>G13+G15+G16+G17+G18+G19+G20+G21+G22+G23+G24+G25+G26+G27+G28</f>
        <v>49222.45</v>
      </c>
      <c r="H29" s="30"/>
      <c r="J29" s="9"/>
    </row>
    <row r="30" spans="1:8" s="2" customFormat="1" ht="33.75" customHeight="1">
      <c r="A30" s="143" t="s">
        <v>119</v>
      </c>
      <c r="B30" s="198" t="s">
        <v>120</v>
      </c>
      <c r="C30" s="199"/>
      <c r="D30" s="199"/>
      <c r="E30" s="199"/>
      <c r="F30" s="199"/>
      <c r="G30" s="199"/>
      <c r="H30" s="117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9" t="s">
        <v>125</v>
      </c>
      <c r="C32" s="11" t="s">
        <v>12</v>
      </c>
      <c r="D32" s="15">
        <v>1</v>
      </c>
      <c r="E32" s="19">
        <f>E33+E34</f>
        <v>0</v>
      </c>
      <c r="F32" s="19">
        <f>F33+F34</f>
        <v>0</v>
      </c>
      <c r="G32" s="19">
        <f>G33+G34</f>
        <v>0</v>
      </c>
      <c r="H32" s="15"/>
    </row>
    <row r="33" spans="1:8" s="2" customFormat="1" ht="15">
      <c r="A33" s="13"/>
      <c r="B33" s="119"/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  <c r="J34" s="164">
        <f>F29+F38</f>
        <v>1564</v>
      </c>
    </row>
    <row r="35" spans="1:8" s="2" customFormat="1" ht="26.25" customHeight="1">
      <c r="A35" s="13" t="s">
        <v>26</v>
      </c>
      <c r="B35" s="119" t="s">
        <v>126</v>
      </c>
      <c r="C35" s="11" t="s">
        <v>12</v>
      </c>
      <c r="D35" s="15">
        <v>1</v>
      </c>
      <c r="E35" s="19">
        <f>E36+E37</f>
        <v>0</v>
      </c>
      <c r="F35" s="19">
        <v>0</v>
      </c>
      <c r="G35" s="19">
        <f>G36+G37</f>
        <v>0</v>
      </c>
      <c r="H35" s="15"/>
    </row>
    <row r="36" spans="1:8" s="2" customFormat="1" ht="15">
      <c r="A36" s="158"/>
      <c r="B36" s="159"/>
      <c r="C36" s="160"/>
      <c r="D36" s="15"/>
      <c r="E36" s="19"/>
      <c r="F36" s="19"/>
      <c r="G36" s="19">
        <f>E36+F36</f>
        <v>0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200" t="s">
        <v>122</v>
      </c>
      <c r="B38" s="201"/>
      <c r="C38" s="202"/>
      <c r="D38" s="30"/>
      <c r="E38" s="31">
        <f>E32+E35</f>
        <v>0</v>
      </c>
      <c r="F38" s="31">
        <f>SUM(F32:F35)</f>
        <v>0</v>
      </c>
      <c r="G38" s="31">
        <f>G32+G35</f>
        <v>0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7" t="s">
        <v>131</v>
      </c>
      <c r="B41" s="127" t="s">
        <v>15</v>
      </c>
      <c r="C41" s="23" t="s">
        <v>12</v>
      </c>
      <c r="D41" s="22">
        <v>1</v>
      </c>
      <c r="E41" s="24">
        <v>7435.8</v>
      </c>
      <c r="F41" s="24"/>
      <c r="G41" s="24">
        <f>E41+F41</f>
        <v>7435.8</v>
      </c>
      <c r="H41" s="30"/>
    </row>
    <row r="42" spans="1:7" s="35" customFormat="1" ht="28.5">
      <c r="A42" s="39" t="s">
        <v>132</v>
      </c>
      <c r="B42" s="135" t="s">
        <v>34</v>
      </c>
      <c r="C42" s="34" t="s">
        <v>12</v>
      </c>
      <c r="D42" s="148">
        <v>1</v>
      </c>
      <c r="E42" s="149"/>
      <c r="F42" s="150"/>
      <c r="G42" s="24">
        <f>E42+F42</f>
        <v>0</v>
      </c>
    </row>
    <row r="43" spans="1:8" s="2" customFormat="1" ht="15">
      <c r="A43" s="151"/>
      <c r="B43" s="152" t="s">
        <v>123</v>
      </c>
      <c r="C43" s="153"/>
      <c r="D43" s="154"/>
      <c r="E43" s="155">
        <f>E29+E38+E41+E42</f>
        <v>55094.25</v>
      </c>
      <c r="F43" s="155">
        <f>F29+F38+F41+F42</f>
        <v>1564</v>
      </c>
      <c r="G43" s="155">
        <f>G29+G38+G41+G42</f>
        <v>56658.25</v>
      </c>
      <c r="H43" s="30"/>
    </row>
    <row r="44" spans="1:7" s="33" customFormat="1" ht="15" customHeight="1">
      <c r="A44" s="190" t="s">
        <v>103</v>
      </c>
      <c r="B44" s="191"/>
      <c r="C44" s="191"/>
      <c r="D44" s="191"/>
      <c r="E44" s="191"/>
      <c r="F44" s="191"/>
      <c r="G44" s="192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3" t="s">
        <v>30</v>
      </c>
      <c r="G45" s="194"/>
    </row>
    <row r="46" spans="1:7" s="2" customFormat="1" ht="25.5" customHeight="1">
      <c r="A46" s="13"/>
      <c r="B46" s="27" t="s">
        <v>35</v>
      </c>
      <c r="C46" s="23" t="s">
        <v>12</v>
      </c>
      <c r="D46" s="22">
        <v>1</v>
      </c>
      <c r="E46" s="24">
        <v>33999.49</v>
      </c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>
        <v>34757.14</v>
      </c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>
        <v>14675.47</v>
      </c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22">
        <v>1</v>
      </c>
      <c r="E49" s="24">
        <v>8183.65</v>
      </c>
      <c r="F49" s="24"/>
      <c r="G49" s="24"/>
    </row>
    <row r="50" spans="1:7" s="2" customFormat="1" ht="15">
      <c r="A50" s="13"/>
      <c r="B50" s="27" t="s">
        <v>39</v>
      </c>
      <c r="C50" s="23" t="s">
        <v>12</v>
      </c>
      <c r="D50" s="15">
        <v>1</v>
      </c>
      <c r="E50" s="24">
        <v>8784.12</v>
      </c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5" t="s">
        <v>40</v>
      </c>
      <c r="B52" s="196"/>
      <c r="C52" s="197"/>
      <c r="D52" s="15"/>
      <c r="E52" s="24">
        <f>SUM(E46:E51)</f>
        <v>100399.87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4" t="s">
        <v>9</v>
      </c>
      <c r="B58" s="204"/>
      <c r="C58" s="204"/>
      <c r="D58" s="204"/>
      <c r="E58" s="205">
        <f>G43+E52</f>
        <v>157058.12</v>
      </c>
      <c r="F58" s="205"/>
      <c r="G58" s="205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6" t="s">
        <v>31</v>
      </c>
      <c r="B63" s="206"/>
      <c r="E63" s="2" t="s">
        <v>10</v>
      </c>
    </row>
    <row r="64" spans="1:5" s="2" customFormat="1" ht="15">
      <c r="A64" s="206" t="s">
        <v>1</v>
      </c>
      <c r="B64" s="206"/>
      <c r="E64" s="2" t="s">
        <v>160</v>
      </c>
    </row>
    <row r="65" spans="1:5" s="2" customFormat="1" ht="30" customHeight="1">
      <c r="A65" s="181" t="s">
        <v>167</v>
      </c>
      <c r="B65" s="181"/>
      <c r="C65" s="18"/>
      <c r="E65" s="2" t="s">
        <v>161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A64:B64"/>
    <mergeCell ref="A65:B65"/>
    <mergeCell ref="A44:G44"/>
    <mergeCell ref="F45:G45"/>
    <mergeCell ref="A52:C52"/>
    <mergeCell ref="A58:D58"/>
    <mergeCell ref="E58:G58"/>
    <mergeCell ref="A63:B63"/>
    <mergeCell ref="A1:B1"/>
    <mergeCell ref="A3:E3"/>
    <mergeCell ref="A5:H5"/>
    <mergeCell ref="A6:H6"/>
    <mergeCell ref="A38:C38"/>
    <mergeCell ref="B7:H7"/>
    <mergeCell ref="B11:G11"/>
    <mergeCell ref="A29:B29"/>
    <mergeCell ref="B30:G30"/>
  </mergeCells>
  <printOptions/>
  <pageMargins left="0.44" right="0.27" top="0.41" bottom="0.7" header="0.27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4">
      <selection activeCell="E16" sqref="E16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2" t="s">
        <v>0</v>
      </c>
      <c r="B1" s="182"/>
      <c r="C1" s="1" t="s">
        <v>159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171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172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4141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>
        <v>11425.05</v>
      </c>
      <c r="F13" s="19">
        <v>125</v>
      </c>
      <c r="G13" s="19">
        <f aca="true" t="shared" si="0" ref="G13:G29">E13+F13</f>
        <v>11550.05</v>
      </c>
      <c r="H13" s="15"/>
    </row>
    <row r="14" spans="1:8" s="4" customFormat="1" ht="15">
      <c r="A14" s="38"/>
      <c r="B14" s="168" t="s">
        <v>129</v>
      </c>
      <c r="C14" s="126"/>
      <c r="D14" s="28"/>
      <c r="E14" s="29"/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>
        <v>3554.45</v>
      </c>
      <c r="F15" s="19">
        <v>231</v>
      </c>
      <c r="G15" s="19">
        <f t="shared" si="0"/>
        <v>3785.45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>
        <v>780.98</v>
      </c>
      <c r="F16" s="19"/>
      <c r="G16" s="19">
        <f t="shared" si="0"/>
        <v>780.98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>
        <v>2981.52</v>
      </c>
      <c r="F22" s="19"/>
      <c r="G22" s="19">
        <f t="shared" si="0"/>
        <v>2981.52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>
        <v>6025.16</v>
      </c>
      <c r="F23" s="19">
        <v>65</v>
      </c>
      <c r="G23" s="19">
        <f t="shared" si="0"/>
        <v>6090.16</v>
      </c>
      <c r="H23" s="15"/>
      <c r="J23" s="2">
        <f>E23</f>
        <v>6025.16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>
        <v>7702.26</v>
      </c>
      <c r="F24" s="19"/>
      <c r="G24" s="19">
        <f t="shared" si="0"/>
        <v>7702.26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>
        <v>9416.63</v>
      </c>
      <c r="F25" s="19"/>
      <c r="G25" s="19">
        <f t="shared" si="0"/>
        <v>9416.63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9">
        <v>1656.4</v>
      </c>
      <c r="F26" s="19"/>
      <c r="G26" s="19">
        <f t="shared" si="0"/>
        <v>1656.4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>
        <v>869.61</v>
      </c>
      <c r="F27" s="19"/>
      <c r="G27" s="19">
        <f t="shared" si="0"/>
        <v>869.61</v>
      </c>
      <c r="H27" s="15"/>
    </row>
    <row r="28" spans="1:8" s="2" customFormat="1" ht="15">
      <c r="A28" s="158"/>
      <c r="B28" s="172" t="s">
        <v>104</v>
      </c>
      <c r="C28" s="160"/>
      <c r="D28" s="15"/>
      <c r="E28" s="19">
        <v>2800</v>
      </c>
      <c r="F28" s="19"/>
      <c r="G28" s="19">
        <f t="shared" si="0"/>
        <v>2800</v>
      </c>
      <c r="H28" s="15"/>
    </row>
    <row r="29" spans="1:8" s="2" customFormat="1" ht="15">
      <c r="A29" s="158"/>
      <c r="B29" s="172" t="s">
        <v>33</v>
      </c>
      <c r="C29" s="160"/>
      <c r="D29" s="15"/>
      <c r="E29" s="19">
        <v>2236</v>
      </c>
      <c r="F29" s="19"/>
      <c r="G29" s="19">
        <f t="shared" si="0"/>
        <v>2236</v>
      </c>
      <c r="H29" s="15"/>
    </row>
    <row r="30" spans="1:10" s="2" customFormat="1" ht="17.25" customHeight="1">
      <c r="A30" s="200" t="s">
        <v>118</v>
      </c>
      <c r="B30" s="201"/>
      <c r="C30" s="146"/>
      <c r="D30" s="30"/>
      <c r="E30" s="19">
        <f>E13+E14+E15+E16+E17+E18+E19+E20+E21+E22+E23+E24+E25+E26+E27+E28+E29</f>
        <v>49448.06</v>
      </c>
      <c r="F30" s="31">
        <f>F13+F15+F16+F17+F18+F19+F20+F21+F22+F23+F24+F25+F26+F27</f>
        <v>421</v>
      </c>
      <c r="G30" s="31">
        <f>G13+G15+G16+G17+G18+G19+G20+G21+G22+G23+G24+G25+G26+G27+G28+G29</f>
        <v>49869.06</v>
      </c>
      <c r="H30" s="30"/>
      <c r="J30" s="9">
        <f>E13+E15+E16+E21+E22+E23+E24+E25+E26+E27</f>
        <v>44412.06</v>
      </c>
    </row>
    <row r="31" spans="1:8" s="2" customFormat="1" ht="33.75" customHeight="1">
      <c r="A31" s="143" t="s">
        <v>119</v>
      </c>
      <c r="B31" s="198" t="s">
        <v>120</v>
      </c>
      <c r="C31" s="199"/>
      <c r="D31" s="199"/>
      <c r="E31" s="199"/>
      <c r="F31" s="199"/>
      <c r="G31" s="199"/>
      <c r="H31" s="117"/>
    </row>
    <row r="32" spans="1:8" s="2" customFormat="1" ht="36.75" customHeight="1">
      <c r="A32" s="13" t="s">
        <v>3</v>
      </c>
      <c r="B32" s="11" t="s">
        <v>28</v>
      </c>
      <c r="C32" s="11" t="s">
        <v>5</v>
      </c>
      <c r="D32" s="11" t="s">
        <v>6</v>
      </c>
      <c r="E32" s="12" t="s">
        <v>13</v>
      </c>
      <c r="F32" s="12" t="s">
        <v>27</v>
      </c>
      <c r="G32" s="11" t="s">
        <v>14</v>
      </c>
      <c r="H32" s="11" t="s">
        <v>7</v>
      </c>
    </row>
    <row r="33" spans="1:8" s="2" customFormat="1" ht="30" customHeight="1">
      <c r="A33" s="13" t="s">
        <v>25</v>
      </c>
      <c r="B33" s="119" t="s">
        <v>125</v>
      </c>
      <c r="C33" s="11" t="s">
        <v>12</v>
      </c>
      <c r="D33" s="15">
        <v>1</v>
      </c>
      <c r="E33" s="19">
        <f>E34+E35</f>
        <v>0</v>
      </c>
      <c r="F33" s="19">
        <f>F34+F35</f>
        <v>0</v>
      </c>
      <c r="G33" s="19">
        <f>G34+G35</f>
        <v>0</v>
      </c>
      <c r="H33" s="15"/>
    </row>
    <row r="34" spans="1:8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</row>
    <row r="35" spans="1:10" s="2" customFormat="1" ht="15">
      <c r="A35" s="13"/>
      <c r="B35" s="119"/>
      <c r="C35" s="11"/>
      <c r="D35" s="15"/>
      <c r="E35" s="19"/>
      <c r="F35" s="19"/>
      <c r="G35" s="19">
        <f>E35+F35</f>
        <v>0</v>
      </c>
      <c r="H35" s="15"/>
      <c r="J35" s="164">
        <f>F30+F39</f>
        <v>421</v>
      </c>
    </row>
    <row r="36" spans="1:8" s="2" customFormat="1" ht="26.25" customHeight="1">
      <c r="A36" s="13" t="s">
        <v>26</v>
      </c>
      <c r="B36" s="119" t="s">
        <v>126</v>
      </c>
      <c r="C36" s="11" t="s">
        <v>12</v>
      </c>
      <c r="D36" s="15">
        <v>1</v>
      </c>
      <c r="E36" s="19">
        <f>E37+E38</f>
        <v>0</v>
      </c>
      <c r="F36" s="19">
        <v>0</v>
      </c>
      <c r="G36" s="19">
        <f>G37+G38</f>
        <v>0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15">
      <c r="A38" s="158"/>
      <c r="B38" s="159"/>
      <c r="C38" s="160"/>
      <c r="D38" s="15"/>
      <c r="E38" s="19"/>
      <c r="F38" s="19"/>
      <c r="G38" s="19">
        <f>E38+F38</f>
        <v>0</v>
      </c>
      <c r="H38" s="15"/>
    </row>
    <row r="39" spans="1:8" s="2" customFormat="1" ht="24.75" customHeight="1">
      <c r="A39" s="200" t="s">
        <v>122</v>
      </c>
      <c r="B39" s="201"/>
      <c r="C39" s="202"/>
      <c r="D39" s="30"/>
      <c r="E39" s="31">
        <f>E33+E36</f>
        <v>0</v>
      </c>
      <c r="F39" s="31">
        <f>SUM(F33:F36)</f>
        <v>0</v>
      </c>
      <c r="G39" s="31">
        <f>G33+G36</f>
        <v>0</v>
      </c>
      <c r="H39" s="30"/>
    </row>
    <row r="40" s="2" customFormat="1" ht="9.75" customHeight="1">
      <c r="A40" s="36"/>
    </row>
    <row r="41" spans="1:8" s="2" customFormat="1" ht="36.75">
      <c r="A41" s="13" t="s">
        <v>3</v>
      </c>
      <c r="B41" s="11" t="s">
        <v>4</v>
      </c>
      <c r="C41" s="11" t="s">
        <v>5</v>
      </c>
      <c r="D41" s="11" t="s">
        <v>6</v>
      </c>
      <c r="E41" s="12" t="s">
        <v>29</v>
      </c>
      <c r="F41" s="12" t="s">
        <v>27</v>
      </c>
      <c r="G41" s="11" t="s">
        <v>14</v>
      </c>
      <c r="H41" s="11" t="s">
        <v>7</v>
      </c>
    </row>
    <row r="42" spans="1:8" s="2" customFormat="1" ht="15">
      <c r="A42" s="147" t="s">
        <v>131</v>
      </c>
      <c r="B42" s="127" t="s">
        <v>15</v>
      </c>
      <c r="C42" s="23" t="s">
        <v>12</v>
      </c>
      <c r="D42" s="22">
        <v>1</v>
      </c>
      <c r="E42" s="24">
        <v>7435.8</v>
      </c>
      <c r="F42" s="24"/>
      <c r="G42" s="24">
        <f>E42+F42</f>
        <v>7435.8</v>
      </c>
      <c r="H42" s="30"/>
    </row>
    <row r="43" spans="1:7" s="35" customFormat="1" ht="28.5">
      <c r="A43" s="39" t="s">
        <v>132</v>
      </c>
      <c r="B43" s="135" t="s">
        <v>34</v>
      </c>
      <c r="C43" s="34" t="s">
        <v>12</v>
      </c>
      <c r="D43" s="148">
        <v>1</v>
      </c>
      <c r="E43" s="149">
        <v>1459.36</v>
      </c>
      <c r="F43" s="150"/>
      <c r="G43" s="24">
        <f>E43+F43</f>
        <v>1459.36</v>
      </c>
    </row>
    <row r="44" spans="1:8" s="2" customFormat="1" ht="15">
      <c r="A44" s="151"/>
      <c r="B44" s="152" t="s">
        <v>123</v>
      </c>
      <c r="C44" s="153"/>
      <c r="D44" s="154"/>
      <c r="E44" s="155">
        <f>E30+E39+E42+E43</f>
        <v>58343.22</v>
      </c>
      <c r="F44" s="155">
        <f>F30+F39+F42+F43</f>
        <v>421</v>
      </c>
      <c r="G44" s="155">
        <f>G30+G39+G42+G43</f>
        <v>58764.22</v>
      </c>
      <c r="H44" s="30"/>
    </row>
    <row r="45" spans="1:7" s="33" customFormat="1" ht="15" customHeight="1">
      <c r="A45" s="190" t="s">
        <v>103</v>
      </c>
      <c r="B45" s="191"/>
      <c r="C45" s="191"/>
      <c r="D45" s="191"/>
      <c r="E45" s="191"/>
      <c r="F45" s="191"/>
      <c r="G45" s="192"/>
    </row>
    <row r="46" spans="1:7" s="2" customFormat="1" ht="33.75" customHeight="1">
      <c r="A46" s="13" t="s">
        <v>3</v>
      </c>
      <c r="B46" s="11" t="s">
        <v>4</v>
      </c>
      <c r="C46" s="11" t="s">
        <v>5</v>
      </c>
      <c r="D46" s="11" t="s">
        <v>6</v>
      </c>
      <c r="E46" s="12" t="s">
        <v>29</v>
      </c>
      <c r="F46" s="193" t="s">
        <v>30</v>
      </c>
      <c r="G46" s="194"/>
    </row>
    <row r="47" spans="1:7" s="2" customFormat="1" ht="25.5" customHeight="1">
      <c r="A47" s="13"/>
      <c r="B47" s="27" t="s">
        <v>35</v>
      </c>
      <c r="C47" s="23" t="s">
        <v>12</v>
      </c>
      <c r="D47" s="22">
        <v>1</v>
      </c>
      <c r="E47" s="24">
        <v>39144.15</v>
      </c>
      <c r="F47" s="24"/>
      <c r="G47" s="24"/>
    </row>
    <row r="48" spans="1:7" s="2" customFormat="1" ht="15">
      <c r="A48" s="13"/>
      <c r="B48" s="27" t="s">
        <v>36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37</v>
      </c>
      <c r="C49" s="23" t="s">
        <v>12</v>
      </c>
      <c r="D49" s="22">
        <v>1</v>
      </c>
      <c r="E49" s="24">
        <v>12023.44</v>
      </c>
      <c r="F49" s="24"/>
      <c r="G49" s="24"/>
    </row>
    <row r="50" spans="1:7" s="2" customFormat="1" ht="15">
      <c r="A50" s="13"/>
      <c r="B50" s="27" t="s">
        <v>38</v>
      </c>
      <c r="C50" s="23" t="s">
        <v>12</v>
      </c>
      <c r="D50" s="22">
        <v>1</v>
      </c>
      <c r="E50" s="24">
        <v>7441.09</v>
      </c>
      <c r="F50" s="24"/>
      <c r="G50" s="24"/>
    </row>
    <row r="51" spans="1:7" s="2" customFormat="1" ht="15">
      <c r="A51" s="13"/>
      <c r="B51" s="27" t="s">
        <v>39</v>
      </c>
      <c r="C51" s="23" t="s">
        <v>12</v>
      </c>
      <c r="D51" s="15">
        <v>1</v>
      </c>
      <c r="E51" s="24">
        <v>10136.21</v>
      </c>
      <c r="F51" s="21"/>
      <c r="G51" s="19"/>
    </row>
    <row r="52" spans="1:7" s="2" customFormat="1" ht="15">
      <c r="A52" s="13"/>
      <c r="B52" s="14"/>
      <c r="C52" s="23"/>
      <c r="D52" s="22"/>
      <c r="E52" s="24"/>
      <c r="F52" s="24"/>
      <c r="G52" s="24"/>
    </row>
    <row r="53" spans="1:7" s="2" customFormat="1" ht="15">
      <c r="A53" s="195" t="s">
        <v>40</v>
      </c>
      <c r="B53" s="196"/>
      <c r="C53" s="197"/>
      <c r="D53" s="15"/>
      <c r="E53" s="24">
        <f>SUM(E47:E52)</f>
        <v>68744.89000000001</v>
      </c>
      <c r="F53" s="17"/>
      <c r="G53" s="1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pans="1:7" s="2" customFormat="1" ht="15">
      <c r="A57" s="37"/>
      <c r="B57" s="8"/>
      <c r="C57" s="8"/>
      <c r="D57" s="25"/>
      <c r="E57" s="32"/>
      <c r="F57" s="26"/>
      <c r="G57" s="25"/>
    </row>
    <row r="58" s="2" customFormat="1" ht="15">
      <c r="A58" s="36"/>
    </row>
    <row r="59" spans="1:7" s="2" customFormat="1" ht="15">
      <c r="A59" s="204" t="s">
        <v>9</v>
      </c>
      <c r="B59" s="204"/>
      <c r="C59" s="204"/>
      <c r="D59" s="204"/>
      <c r="E59" s="205">
        <f>G44+E53</f>
        <v>127509.11000000002</v>
      </c>
      <c r="F59" s="205"/>
      <c r="G59" s="205"/>
    </row>
    <row r="60" spans="1:10" s="2" customFormat="1" ht="15">
      <c r="A60" s="36"/>
      <c r="G60" s="9"/>
      <c r="J60" s="2" t="s">
        <v>58</v>
      </c>
    </row>
    <row r="61" s="2" customFormat="1" ht="15">
      <c r="A61" s="36"/>
    </row>
    <row r="62" s="2" customFormat="1" ht="15">
      <c r="A62" s="36"/>
    </row>
    <row r="63" s="2" customFormat="1" ht="15">
      <c r="A63" s="36"/>
    </row>
    <row r="64" spans="1:5" s="2" customFormat="1" ht="15">
      <c r="A64" s="206" t="s">
        <v>31</v>
      </c>
      <c r="B64" s="206"/>
      <c r="E64" s="2" t="s">
        <v>10</v>
      </c>
    </row>
    <row r="65" spans="1:5" s="2" customFormat="1" ht="15">
      <c r="A65" s="206" t="s">
        <v>1</v>
      </c>
      <c r="B65" s="206"/>
      <c r="E65" s="2" t="s">
        <v>160</v>
      </c>
    </row>
    <row r="66" spans="1:5" s="2" customFormat="1" ht="30" customHeight="1">
      <c r="A66" s="181" t="s">
        <v>165</v>
      </c>
      <c r="B66" s="181"/>
      <c r="C66" s="18"/>
      <c r="E66" s="2" t="s">
        <v>161</v>
      </c>
    </row>
    <row r="67" s="2" customFormat="1" ht="15">
      <c r="A67" s="36"/>
    </row>
    <row r="68" s="2" customFormat="1" ht="15">
      <c r="A68" s="36"/>
    </row>
    <row r="69" s="2" customFormat="1" ht="15">
      <c r="A69" s="36"/>
    </row>
    <row r="70" s="2" customFormat="1" ht="15">
      <c r="A70" s="36"/>
    </row>
  </sheetData>
  <sheetProtection/>
  <mergeCells count="17">
    <mergeCell ref="A66:B66"/>
    <mergeCell ref="A39:C39"/>
    <mergeCell ref="A45:G45"/>
    <mergeCell ref="F46:G46"/>
    <mergeCell ref="A53:C53"/>
    <mergeCell ref="A1:B1"/>
    <mergeCell ref="A3:E3"/>
    <mergeCell ref="A5:H5"/>
    <mergeCell ref="A6:H6"/>
    <mergeCell ref="B11:G11"/>
    <mergeCell ref="B7:H7"/>
    <mergeCell ref="A65:B65"/>
    <mergeCell ref="A30:B30"/>
    <mergeCell ref="B31:G31"/>
    <mergeCell ref="A64:B64"/>
    <mergeCell ref="A59:D59"/>
    <mergeCell ref="E59:G59"/>
  </mergeCells>
  <printOptions/>
  <pageMargins left="0.29" right="0.23" top="0.66" bottom="0.47" header="0.5" footer="0.1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4">
      <selection activeCell="E42" sqref="E42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2" t="s">
        <v>0</v>
      </c>
      <c r="B1" s="182"/>
      <c r="C1" s="1" t="s">
        <v>158</v>
      </c>
      <c r="D1" s="1"/>
      <c r="E1" s="1"/>
    </row>
    <row r="2" s="2" customFormat="1" ht="15">
      <c r="A2" s="36"/>
    </row>
    <row r="3" spans="1:7" s="2" customFormat="1" ht="15">
      <c r="A3" s="182" t="s">
        <v>8</v>
      </c>
      <c r="B3" s="182"/>
      <c r="C3" s="182"/>
      <c r="D3" s="182"/>
      <c r="E3" s="182"/>
      <c r="F3" s="3" t="s">
        <v>157</v>
      </c>
      <c r="G3" s="1"/>
    </row>
    <row r="4" s="2" customFormat="1" ht="15">
      <c r="A4" s="36"/>
    </row>
    <row r="5" spans="1:8" s="2" customFormat="1" ht="18.75">
      <c r="A5" s="203" t="s">
        <v>173</v>
      </c>
      <c r="B5" s="203"/>
      <c r="C5" s="203"/>
      <c r="D5" s="203"/>
      <c r="E5" s="203"/>
      <c r="F5" s="203"/>
      <c r="G5" s="203"/>
      <c r="H5" s="203"/>
    </row>
    <row r="6" spans="1:8" s="2" customFormat="1" ht="15">
      <c r="A6" s="181" t="s">
        <v>109</v>
      </c>
      <c r="B6" s="181"/>
      <c r="C6" s="181"/>
      <c r="D6" s="181"/>
      <c r="E6" s="181"/>
      <c r="F6" s="181"/>
      <c r="G6" s="181"/>
      <c r="H6" s="181"/>
    </row>
    <row r="7" spans="1:8" s="2" customFormat="1" ht="15">
      <c r="A7" s="36"/>
      <c r="B7" s="207" t="s">
        <v>1</v>
      </c>
      <c r="C7" s="207"/>
      <c r="D7" s="207"/>
      <c r="E7" s="207"/>
      <c r="F7" s="207"/>
      <c r="G7" s="207"/>
      <c r="H7" s="207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174</v>
      </c>
      <c r="E9" s="4"/>
      <c r="F9" s="4"/>
    </row>
    <row r="10" s="2" customFormat="1" ht="15">
      <c r="A10" s="36"/>
    </row>
    <row r="11" spans="1:9" s="2" customFormat="1" ht="60.75" customHeight="1">
      <c r="A11" s="143" t="s">
        <v>110</v>
      </c>
      <c r="B11" s="198" t="s">
        <v>111</v>
      </c>
      <c r="C11" s="199"/>
      <c r="D11" s="199"/>
      <c r="E11" s="199"/>
      <c r="F11" s="199"/>
      <c r="G11" s="199"/>
      <c r="H11" s="7">
        <v>4141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9" t="s">
        <v>112</v>
      </c>
      <c r="C13" s="11" t="s">
        <v>12</v>
      </c>
      <c r="D13" s="15">
        <v>1</v>
      </c>
      <c r="E13" s="19">
        <v>11425.04</v>
      </c>
      <c r="F13" s="19">
        <v>578</v>
      </c>
      <c r="G13" s="19">
        <f aca="true" t="shared" si="0" ref="G13:G29">E13+F13</f>
        <v>12003.04</v>
      </c>
      <c r="H13" s="15"/>
    </row>
    <row r="14" spans="1:8" s="4" customFormat="1" ht="15">
      <c r="A14" s="38"/>
      <c r="B14" s="168" t="s">
        <v>129</v>
      </c>
      <c r="C14" s="126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9" t="s">
        <v>113</v>
      </c>
      <c r="C15" s="11" t="s">
        <v>12</v>
      </c>
      <c r="D15" s="15">
        <v>1</v>
      </c>
      <c r="E15" s="19">
        <v>3554.47</v>
      </c>
      <c r="F15" s="19">
        <v>120</v>
      </c>
      <c r="G15" s="19">
        <f t="shared" si="0"/>
        <v>3674.47</v>
      </c>
      <c r="H15" s="15"/>
    </row>
    <row r="16" spans="1:8" s="2" customFormat="1" ht="15" customHeight="1">
      <c r="A16" s="13" t="s">
        <v>19</v>
      </c>
      <c r="B16" s="123" t="s">
        <v>16</v>
      </c>
      <c r="C16" s="11" t="s">
        <v>12</v>
      </c>
      <c r="D16" s="15">
        <v>1</v>
      </c>
      <c r="E16" s="19">
        <f>780.98+4068.38</f>
        <v>4849.360000000001</v>
      </c>
      <c r="F16" s="19"/>
      <c r="G16" s="19">
        <f t="shared" si="0"/>
        <v>4849.360000000001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2727.2</v>
      </c>
      <c r="F17" s="19"/>
      <c r="G17" s="19">
        <f t="shared" si="0"/>
        <v>2727.2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3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94</v>
      </c>
      <c r="B22" s="123" t="s">
        <v>114</v>
      </c>
      <c r="C22" s="11" t="s">
        <v>12</v>
      </c>
      <c r="D22" s="15">
        <v>1</v>
      </c>
      <c r="E22" s="16">
        <v>2981.52</v>
      </c>
      <c r="F22" s="19"/>
      <c r="G22" s="19">
        <f t="shared" si="0"/>
        <v>2981.52</v>
      </c>
      <c r="H22" s="15"/>
    </row>
    <row r="23" spans="1:10" s="2" customFormat="1" ht="30">
      <c r="A23" s="13" t="s">
        <v>95</v>
      </c>
      <c r="B23" s="119" t="s">
        <v>115</v>
      </c>
      <c r="C23" s="11" t="s">
        <v>12</v>
      </c>
      <c r="D23" s="15">
        <v>1</v>
      </c>
      <c r="E23" s="16">
        <v>6025.16</v>
      </c>
      <c r="F23" s="19">
        <f>18348.1+65</f>
        <v>18413.1</v>
      </c>
      <c r="G23" s="19">
        <f t="shared" si="0"/>
        <v>24438.26</v>
      </c>
      <c r="H23" s="15"/>
      <c r="J23" s="2">
        <f>E23</f>
        <v>6025.16</v>
      </c>
    </row>
    <row r="24" spans="1:8" s="2" customFormat="1" ht="15">
      <c r="A24" s="13" t="s">
        <v>133</v>
      </c>
      <c r="B24" s="123" t="s">
        <v>116</v>
      </c>
      <c r="C24" s="11" t="s">
        <v>12</v>
      </c>
      <c r="D24" s="15">
        <v>1</v>
      </c>
      <c r="E24" s="16">
        <v>7702.26</v>
      </c>
      <c r="F24" s="19"/>
      <c r="G24" s="19">
        <f t="shared" si="0"/>
        <v>7702.26</v>
      </c>
      <c r="H24" s="15"/>
    </row>
    <row r="25" spans="1:8" s="2" customFormat="1" ht="27.75" customHeight="1">
      <c r="A25" s="13" t="s">
        <v>134</v>
      </c>
      <c r="B25" s="144" t="s">
        <v>117</v>
      </c>
      <c r="C25" s="11" t="s">
        <v>12</v>
      </c>
      <c r="D25" s="15">
        <v>1</v>
      </c>
      <c r="E25" s="16">
        <v>9416.63</v>
      </c>
      <c r="F25" s="19"/>
      <c r="G25" s="19">
        <f t="shared" si="0"/>
        <v>9416.63</v>
      </c>
      <c r="H25" s="15"/>
    </row>
    <row r="26" spans="1:8" s="2" customFormat="1" ht="15">
      <c r="A26" s="13" t="s">
        <v>135</v>
      </c>
      <c r="B26" s="145" t="s">
        <v>99</v>
      </c>
      <c r="C26" s="11" t="s">
        <v>12</v>
      </c>
      <c r="D26" s="15">
        <v>1</v>
      </c>
      <c r="E26" s="19">
        <v>1656.4</v>
      </c>
      <c r="F26" s="19"/>
      <c r="G26" s="19">
        <f t="shared" si="0"/>
        <v>1656.4</v>
      </c>
      <c r="H26" s="15"/>
    </row>
    <row r="27" spans="1:8" s="2" customFormat="1" ht="15">
      <c r="A27" s="13" t="s">
        <v>136</v>
      </c>
      <c r="B27" s="145" t="s">
        <v>100</v>
      </c>
      <c r="C27" s="11" t="s">
        <v>12</v>
      </c>
      <c r="D27" s="15">
        <v>1</v>
      </c>
      <c r="E27" s="19">
        <v>869.61</v>
      </c>
      <c r="F27" s="19"/>
      <c r="G27" s="19">
        <f t="shared" si="0"/>
        <v>869.61</v>
      </c>
      <c r="H27" s="15"/>
    </row>
    <row r="28" spans="1:8" s="2" customFormat="1" ht="15">
      <c r="A28" s="158"/>
      <c r="B28" s="172" t="s">
        <v>176</v>
      </c>
      <c r="C28" s="160"/>
      <c r="D28" s="15"/>
      <c r="E28" s="19">
        <v>2236</v>
      </c>
      <c r="F28" s="19"/>
      <c r="G28" s="19">
        <f t="shared" si="0"/>
        <v>2236</v>
      </c>
      <c r="H28" s="15"/>
    </row>
    <row r="29" spans="1:8" s="2" customFormat="1" ht="15">
      <c r="A29" s="158"/>
      <c r="B29" s="172" t="s">
        <v>175</v>
      </c>
      <c r="C29" s="160"/>
      <c r="D29" s="15"/>
      <c r="E29" s="19">
        <v>2800</v>
      </c>
      <c r="F29" s="19"/>
      <c r="G29" s="19">
        <f t="shared" si="0"/>
        <v>2800</v>
      </c>
      <c r="H29" s="15"/>
    </row>
    <row r="30" spans="1:10" s="2" customFormat="1" ht="17.25" customHeight="1">
      <c r="A30" s="200" t="s">
        <v>118</v>
      </c>
      <c r="B30" s="201"/>
      <c r="C30" s="146"/>
      <c r="D30" s="30"/>
      <c r="E30" s="31">
        <f>E13+E15+E16+E17+E18+E19+E20+E21+E22+E23+E24+E25+E26+E27+E29+E28</f>
        <v>56243.65</v>
      </c>
      <c r="F30" s="31">
        <f>F13+F15+F16+F17+F18+F19+F20+F21+F22+F23+F24+F25+F26+F27</f>
        <v>19111.1</v>
      </c>
      <c r="G30" s="31">
        <f>G13+G15+G16+G17+G18+G19+G20+G21+G22+G23+G24+G25+G26+G27+G29+G28</f>
        <v>75354.75</v>
      </c>
      <c r="H30" s="30"/>
      <c r="J30" s="9">
        <f>E13+E15+E16+E21+E22+E23+E24+E25+E26+E27</f>
        <v>48480.450000000004</v>
      </c>
    </row>
    <row r="31" spans="1:8" s="2" customFormat="1" ht="33.75" customHeight="1">
      <c r="A31" s="143" t="s">
        <v>119</v>
      </c>
      <c r="B31" s="198" t="s">
        <v>120</v>
      </c>
      <c r="C31" s="199"/>
      <c r="D31" s="199"/>
      <c r="E31" s="199"/>
      <c r="F31" s="199"/>
      <c r="G31" s="199"/>
      <c r="H31" s="117"/>
    </row>
    <row r="32" spans="1:8" s="2" customFormat="1" ht="36.75" customHeight="1">
      <c r="A32" s="13" t="s">
        <v>3</v>
      </c>
      <c r="B32" s="11" t="s">
        <v>28</v>
      </c>
      <c r="C32" s="11" t="s">
        <v>5</v>
      </c>
      <c r="D32" s="11" t="s">
        <v>6</v>
      </c>
      <c r="E32" s="12" t="s">
        <v>13</v>
      </c>
      <c r="F32" s="12" t="s">
        <v>27</v>
      </c>
      <c r="G32" s="11" t="s">
        <v>14</v>
      </c>
      <c r="H32" s="11" t="s">
        <v>7</v>
      </c>
    </row>
    <row r="33" spans="1:8" s="2" customFormat="1" ht="30" customHeight="1">
      <c r="A33" s="13" t="s">
        <v>25</v>
      </c>
      <c r="B33" s="119" t="s">
        <v>125</v>
      </c>
      <c r="C33" s="11" t="s">
        <v>12</v>
      </c>
      <c r="D33" s="15">
        <v>1</v>
      </c>
      <c r="E33" s="19">
        <f>E34+E35</f>
        <v>0</v>
      </c>
      <c r="F33" s="19">
        <f>F34+F35</f>
        <v>0</v>
      </c>
      <c r="G33" s="19">
        <f>G34+G35</f>
        <v>0</v>
      </c>
      <c r="H33" s="15"/>
    </row>
    <row r="34" spans="1:8" s="2" customFormat="1" ht="15">
      <c r="A34" s="13"/>
      <c r="B34" s="119"/>
      <c r="C34" s="11"/>
      <c r="D34" s="15"/>
      <c r="E34" s="19"/>
      <c r="F34" s="19"/>
      <c r="G34" s="19">
        <f>E34+F34</f>
        <v>0</v>
      </c>
      <c r="H34" s="15"/>
    </row>
    <row r="35" spans="1:10" s="2" customFormat="1" ht="15">
      <c r="A35" s="13"/>
      <c r="B35" s="119"/>
      <c r="C35" s="11"/>
      <c r="D35" s="15"/>
      <c r="E35" s="19"/>
      <c r="F35" s="19"/>
      <c r="G35" s="19">
        <f>E35+F35</f>
        <v>0</v>
      </c>
      <c r="H35" s="15"/>
      <c r="J35" s="164">
        <f>F30+F39</f>
        <v>19111.1</v>
      </c>
    </row>
    <row r="36" spans="1:8" s="2" customFormat="1" ht="26.25" customHeight="1">
      <c r="A36" s="13" t="s">
        <v>26</v>
      </c>
      <c r="B36" s="119" t="s">
        <v>126</v>
      </c>
      <c r="C36" s="11" t="s">
        <v>12</v>
      </c>
      <c r="D36" s="15">
        <v>1</v>
      </c>
      <c r="E36" s="19">
        <f>E37+E38</f>
        <v>0</v>
      </c>
      <c r="F36" s="19">
        <v>0</v>
      </c>
      <c r="G36" s="19">
        <f>G37+G38</f>
        <v>0</v>
      </c>
      <c r="H36" s="15"/>
    </row>
    <row r="37" spans="1:8" s="2" customFormat="1" ht="15">
      <c r="A37" s="158"/>
      <c r="B37" s="159"/>
      <c r="C37" s="160"/>
      <c r="D37" s="15"/>
      <c r="E37" s="19"/>
      <c r="F37" s="19"/>
      <c r="G37" s="19">
        <f>E37+F37</f>
        <v>0</v>
      </c>
      <c r="H37" s="15"/>
    </row>
    <row r="38" spans="1:8" s="2" customFormat="1" ht="15">
      <c r="A38" s="158"/>
      <c r="B38" s="159"/>
      <c r="C38" s="160"/>
      <c r="D38" s="15"/>
      <c r="E38" s="19"/>
      <c r="F38" s="19"/>
      <c r="G38" s="19">
        <f>E38+F38</f>
        <v>0</v>
      </c>
      <c r="H38" s="15"/>
    </row>
    <row r="39" spans="1:8" s="2" customFormat="1" ht="24.75" customHeight="1">
      <c r="A39" s="200" t="s">
        <v>122</v>
      </c>
      <c r="B39" s="201"/>
      <c r="C39" s="202"/>
      <c r="D39" s="30"/>
      <c r="E39" s="31">
        <f>E33+E36</f>
        <v>0</v>
      </c>
      <c r="F39" s="31">
        <f>SUM(F33:F36)</f>
        <v>0</v>
      </c>
      <c r="G39" s="31">
        <f>G33+G36</f>
        <v>0</v>
      </c>
      <c r="H39" s="30"/>
    </row>
    <row r="40" s="2" customFormat="1" ht="9.75" customHeight="1">
      <c r="A40" s="36"/>
    </row>
    <row r="41" spans="1:8" s="2" customFormat="1" ht="36.75">
      <c r="A41" s="13" t="s">
        <v>3</v>
      </c>
      <c r="B41" s="11" t="s">
        <v>4</v>
      </c>
      <c r="C41" s="11" t="s">
        <v>5</v>
      </c>
      <c r="D41" s="11" t="s">
        <v>6</v>
      </c>
      <c r="E41" s="12" t="s">
        <v>29</v>
      </c>
      <c r="F41" s="12" t="s">
        <v>27</v>
      </c>
      <c r="G41" s="11" t="s">
        <v>14</v>
      </c>
      <c r="H41" s="11" t="s">
        <v>7</v>
      </c>
    </row>
    <row r="42" spans="1:8" s="2" customFormat="1" ht="15">
      <c r="A42" s="147" t="s">
        <v>131</v>
      </c>
      <c r="B42" s="127" t="s">
        <v>15</v>
      </c>
      <c r="C42" s="23" t="s">
        <v>12</v>
      </c>
      <c r="D42" s="22">
        <v>1</v>
      </c>
      <c r="E42" s="24">
        <v>7435.8</v>
      </c>
      <c r="F42" s="24"/>
      <c r="G42" s="24">
        <f>E42+F42</f>
        <v>7435.8</v>
      </c>
      <c r="H42" s="30"/>
    </row>
    <row r="43" spans="1:7" s="35" customFormat="1" ht="28.5">
      <c r="A43" s="39" t="s">
        <v>132</v>
      </c>
      <c r="B43" s="135" t="s">
        <v>34</v>
      </c>
      <c r="C43" s="34" t="s">
        <v>12</v>
      </c>
      <c r="D43" s="148">
        <v>1</v>
      </c>
      <c r="E43" s="149">
        <v>1711.91</v>
      </c>
      <c r="F43" s="150"/>
      <c r="G43" s="24">
        <f>E43+F43</f>
        <v>1711.91</v>
      </c>
    </row>
    <row r="44" spans="1:8" s="2" customFormat="1" ht="15">
      <c r="A44" s="151"/>
      <c r="B44" s="152" t="s">
        <v>123</v>
      </c>
      <c r="C44" s="153"/>
      <c r="D44" s="154"/>
      <c r="E44" s="155">
        <f>E30+E39+E42+E43</f>
        <v>65391.36000000001</v>
      </c>
      <c r="F44" s="155">
        <f>F30+F39+F42+F43</f>
        <v>19111.1</v>
      </c>
      <c r="G44" s="155">
        <f>G30+G39+G42+G43</f>
        <v>84502.46</v>
      </c>
      <c r="H44" s="30"/>
    </row>
    <row r="45" spans="1:7" s="33" customFormat="1" ht="15" customHeight="1">
      <c r="A45" s="190" t="s">
        <v>103</v>
      </c>
      <c r="B45" s="191"/>
      <c r="C45" s="191"/>
      <c r="D45" s="191"/>
      <c r="E45" s="191"/>
      <c r="F45" s="191"/>
      <c r="G45" s="192"/>
    </row>
    <row r="46" spans="1:7" s="2" customFormat="1" ht="33.75" customHeight="1">
      <c r="A46" s="13" t="s">
        <v>3</v>
      </c>
      <c r="B46" s="11" t="s">
        <v>4</v>
      </c>
      <c r="C46" s="11" t="s">
        <v>5</v>
      </c>
      <c r="D46" s="11" t="s">
        <v>6</v>
      </c>
      <c r="E46" s="12" t="s">
        <v>29</v>
      </c>
      <c r="F46" s="193" t="s">
        <v>30</v>
      </c>
      <c r="G46" s="194"/>
    </row>
    <row r="47" spans="1:7" s="2" customFormat="1" ht="25.5" customHeight="1">
      <c r="A47" s="13"/>
      <c r="B47" s="27" t="s">
        <v>35</v>
      </c>
      <c r="C47" s="23" t="s">
        <v>12</v>
      </c>
      <c r="D47" s="22">
        <v>1</v>
      </c>
      <c r="E47" s="24">
        <v>38414.98</v>
      </c>
      <c r="F47" s="24"/>
      <c r="G47" s="24"/>
    </row>
    <row r="48" spans="1:7" s="2" customFormat="1" ht="15">
      <c r="A48" s="13"/>
      <c r="B48" s="27" t="s">
        <v>36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37</v>
      </c>
      <c r="C49" s="23" t="s">
        <v>12</v>
      </c>
      <c r="D49" s="22">
        <v>1</v>
      </c>
      <c r="E49" s="24">
        <v>10271.3</v>
      </c>
      <c r="F49" s="24"/>
      <c r="G49" s="24"/>
    </row>
    <row r="50" spans="1:7" s="2" customFormat="1" ht="15">
      <c r="A50" s="13"/>
      <c r="B50" s="27" t="s">
        <v>38</v>
      </c>
      <c r="C50" s="23" t="s">
        <v>12</v>
      </c>
      <c r="D50" s="22">
        <v>1</v>
      </c>
      <c r="E50" s="24">
        <v>7002.44</v>
      </c>
      <c r="F50" s="24"/>
      <c r="G50" s="24"/>
    </row>
    <row r="51" spans="1:7" s="2" customFormat="1" ht="15">
      <c r="A51" s="13"/>
      <c r="B51" s="27" t="s">
        <v>39</v>
      </c>
      <c r="C51" s="23" t="s">
        <v>12</v>
      </c>
      <c r="D51" s="15">
        <v>1</v>
      </c>
      <c r="E51" s="24">
        <v>6711.6</v>
      </c>
      <c r="F51" s="21"/>
      <c r="G51" s="19"/>
    </row>
    <row r="52" spans="1:7" s="2" customFormat="1" ht="15">
      <c r="A52" s="13"/>
      <c r="B52" s="14"/>
      <c r="C52" s="23"/>
      <c r="D52" s="22"/>
      <c r="E52" s="24"/>
      <c r="F52" s="24"/>
      <c r="G52" s="24"/>
    </row>
    <row r="53" spans="1:7" s="2" customFormat="1" ht="15">
      <c r="A53" s="195" t="s">
        <v>40</v>
      </c>
      <c r="B53" s="196"/>
      <c r="C53" s="197"/>
      <c r="D53" s="15"/>
      <c r="E53" s="24">
        <f>SUM(E47:E52)</f>
        <v>62400.32</v>
      </c>
      <c r="F53" s="17"/>
      <c r="G53" s="1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pans="1:7" s="2" customFormat="1" ht="15">
      <c r="A57" s="37"/>
      <c r="B57" s="8"/>
      <c r="C57" s="8"/>
      <c r="D57" s="25"/>
      <c r="E57" s="32"/>
      <c r="F57" s="26"/>
      <c r="G57" s="25"/>
    </row>
    <row r="58" s="2" customFormat="1" ht="15">
      <c r="A58" s="36"/>
    </row>
    <row r="59" spans="1:7" s="2" customFormat="1" ht="15">
      <c r="A59" s="204" t="s">
        <v>9</v>
      </c>
      <c r="B59" s="204"/>
      <c r="C59" s="204"/>
      <c r="D59" s="204"/>
      <c r="E59" s="205">
        <f>G44+E53</f>
        <v>146902.78</v>
      </c>
      <c r="F59" s="205"/>
      <c r="G59" s="205"/>
    </row>
    <row r="60" spans="1:10" s="2" customFormat="1" ht="15">
      <c r="A60" s="36"/>
      <c r="G60" s="9"/>
      <c r="J60" s="2" t="s">
        <v>58</v>
      </c>
    </row>
    <row r="61" s="2" customFormat="1" ht="15">
      <c r="A61" s="36"/>
    </row>
    <row r="62" s="2" customFormat="1" ht="15">
      <c r="A62" s="36"/>
    </row>
    <row r="63" s="2" customFormat="1" ht="15">
      <c r="A63" s="36"/>
    </row>
    <row r="64" spans="1:5" s="2" customFormat="1" ht="15">
      <c r="A64" s="206" t="s">
        <v>31</v>
      </c>
      <c r="B64" s="206"/>
      <c r="E64" s="2" t="s">
        <v>10</v>
      </c>
    </row>
    <row r="65" spans="1:5" s="2" customFormat="1" ht="15">
      <c r="A65" s="206" t="s">
        <v>1</v>
      </c>
      <c r="B65" s="206"/>
      <c r="E65" s="2" t="s">
        <v>160</v>
      </c>
    </row>
    <row r="66" spans="1:5" s="2" customFormat="1" ht="30" customHeight="1">
      <c r="A66" s="181" t="s">
        <v>166</v>
      </c>
      <c r="B66" s="181"/>
      <c r="C66" s="18"/>
      <c r="E66" s="2" t="s">
        <v>161</v>
      </c>
    </row>
    <row r="67" s="2" customFormat="1" ht="15">
      <c r="A67" s="36"/>
    </row>
    <row r="68" s="2" customFormat="1" ht="15">
      <c r="A68" s="36"/>
    </row>
    <row r="69" s="2" customFormat="1" ht="15">
      <c r="A69" s="36"/>
    </row>
    <row r="70" s="2" customFormat="1" ht="15">
      <c r="A70" s="36"/>
    </row>
  </sheetData>
  <sheetProtection/>
  <mergeCells count="17">
    <mergeCell ref="E59:G59"/>
    <mergeCell ref="A65:B65"/>
    <mergeCell ref="A66:B66"/>
    <mergeCell ref="A30:B30"/>
    <mergeCell ref="B31:G31"/>
    <mergeCell ref="A39:C39"/>
    <mergeCell ref="A45:G45"/>
    <mergeCell ref="A64:B64"/>
    <mergeCell ref="A59:D59"/>
    <mergeCell ref="F46:G46"/>
    <mergeCell ref="A53:C53"/>
    <mergeCell ref="A1:B1"/>
    <mergeCell ref="A3:E3"/>
    <mergeCell ref="A5:H5"/>
    <mergeCell ref="A6:H6"/>
    <mergeCell ref="B7:H7"/>
    <mergeCell ref="B11:G11"/>
  </mergeCells>
  <printOptions/>
  <pageMargins left="0.32" right="0.17" top="0.34" bottom="0.38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2018-05-22T08:02:13Z</cp:lastPrinted>
  <dcterms:created xsi:type="dcterms:W3CDTF">2011-02-12T11:02:58Z</dcterms:created>
  <dcterms:modified xsi:type="dcterms:W3CDTF">2019-02-20T06:21:11Z</dcterms:modified>
  <cp:category/>
  <cp:version/>
  <cp:contentType/>
  <cp:contentStatus/>
</cp:coreProperties>
</file>