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50" activeTab="0"/>
  </bookViews>
  <sheets>
    <sheet name="Лист1" sheetId="1" r:id="rId1"/>
    <sheet name="Свод" sheetId="2" r:id="rId2"/>
    <sheet name="январь" sheetId="3" r:id="rId3"/>
    <sheet name="февраль" sheetId="4" r:id="rId4"/>
    <sheet name="март" sheetId="5" r:id="rId5"/>
    <sheet name="апрель" sheetId="6" r:id="rId6"/>
    <sheet name="май" sheetId="7" r:id="rId7"/>
    <sheet name="июнь" sheetId="8" r:id="rId8"/>
    <sheet name="июль" sheetId="9" r:id="rId9"/>
    <sheet name="август" sheetId="10" r:id="rId10"/>
    <sheet name="сентябрь" sheetId="11" r:id="rId11"/>
    <sheet name="октябрь" sheetId="12" r:id="rId12"/>
    <sheet name="ноябрь" sheetId="13" r:id="rId13"/>
    <sheet name="декабрь" sheetId="14" r:id="rId14"/>
  </sheets>
  <externalReferences>
    <externalReference r:id="rId17"/>
  </externalReferences>
  <definedNames>
    <definedName name="_xlnm.Print_Area" localSheetId="0">'Лист1'!$A$1:$R$101</definedName>
  </definedNames>
  <calcPr fullCalcOnLoad="1"/>
</workbook>
</file>

<file path=xl/sharedStrings.xml><?xml version="1.0" encoding="utf-8"?>
<sst xmlns="http://schemas.openxmlformats.org/spreadsheetml/2006/main" count="2298" uniqueCount="211">
  <si>
    <t>Исполнитель:</t>
  </si>
  <si>
    <t>многоквартирного дома</t>
  </si>
  <si>
    <t>отчетный период</t>
  </si>
  <si>
    <t>№п/п</t>
  </si>
  <si>
    <t>Наименование работ</t>
  </si>
  <si>
    <t>ед. изм.</t>
  </si>
  <si>
    <t>кол-во</t>
  </si>
  <si>
    <t>примечание</t>
  </si>
  <si>
    <t>Заказчик:     Собственники жилого дома по адресу:</t>
  </si>
  <si>
    <t>раз</t>
  </si>
  <si>
    <t>Всего по инженерному оборудованию</t>
  </si>
  <si>
    <t>ИТОГО ПО АКТУ ВЫПОЛНЕННЫХ РАБОТ</t>
  </si>
  <si>
    <t>Обслуживающая организация</t>
  </si>
  <si>
    <t>Санитарное содержание придомовой территории в соответствии с ПиН</t>
  </si>
  <si>
    <t>Санитарное содержание подъездов в соответствии с ПиН</t>
  </si>
  <si>
    <r>
      <t xml:space="preserve">____________________/ </t>
    </r>
    <r>
      <rPr>
        <u val="single"/>
        <sz val="11"/>
        <color indexed="8"/>
        <rFont val="Times New Roman"/>
        <family val="1"/>
      </rPr>
      <t>Г.М. Жериченко</t>
    </r>
    <r>
      <rPr>
        <sz val="11"/>
        <color indexed="8"/>
        <rFont val="Times New Roman"/>
        <family val="1"/>
      </rPr>
      <t>/</t>
    </r>
  </si>
  <si>
    <t>мес.</t>
  </si>
  <si>
    <t>стоимость 
работ, руб</t>
  </si>
  <si>
    <t>Итого</t>
  </si>
  <si>
    <t>Вывоз и утилизация ТБО</t>
  </si>
  <si>
    <t>Дератизация, дезинсекция</t>
  </si>
  <si>
    <t>Содержание и эксплуатация лифтов</t>
  </si>
  <si>
    <t>Содержание и обслуживание мусоро- провода в соответствии с ПиН</t>
  </si>
  <si>
    <t>1. Благоустройство и обеспечение санитарного состояния жилых зданий и придомовых территорий</t>
  </si>
  <si>
    <t>1.1</t>
  </si>
  <si>
    <t>1.2</t>
  </si>
  <si>
    <t>1.3</t>
  </si>
  <si>
    <t>1.4</t>
  </si>
  <si>
    <t>1.5</t>
  </si>
  <si>
    <t>1.6</t>
  </si>
  <si>
    <t>1.7</t>
  </si>
  <si>
    <t>1.8</t>
  </si>
  <si>
    <t>2. Эксплуатация, содержание и текущий ремонт инженерного оборудования</t>
  </si>
  <si>
    <t>Всего по благоустройству и санитарному содержанию</t>
  </si>
  <si>
    <t>2.1</t>
  </si>
  <si>
    <t>2.2</t>
  </si>
  <si>
    <t>2.3</t>
  </si>
  <si>
    <t>2.4</t>
  </si>
  <si>
    <t>3. Эксплуатация, содержание и текущий ремонт конструктивных элементов здания</t>
  </si>
  <si>
    <t>стоимость
материалов руб</t>
  </si>
  <si>
    <t>Наименование услуги</t>
  </si>
  <si>
    <t>Всего по конструктивным элементам</t>
  </si>
  <si>
    <t>3.1</t>
  </si>
  <si>
    <t>3.2</t>
  </si>
  <si>
    <t>Транспортные расходы</t>
  </si>
  <si>
    <t>стоимость работ, руб</t>
  </si>
  <si>
    <t>Примечание</t>
  </si>
  <si>
    <t>Представитель собственников</t>
  </si>
  <si>
    <t>Дополнительные работы:</t>
  </si>
  <si>
    <t>ул. К. Маркса, 7 А</t>
  </si>
  <si>
    <t>5883,8кв.м</t>
  </si>
  <si>
    <t>Вывоз КГО</t>
  </si>
  <si>
    <t>Обслуживание домофона</t>
  </si>
  <si>
    <t>Аварийные работы (канализ.)</t>
  </si>
  <si>
    <t>услуги по начислению платежей и взносов</t>
  </si>
  <si>
    <t>услуги паспортного стола</t>
  </si>
  <si>
    <t>транспортные расходы</t>
  </si>
  <si>
    <t>Вознаграждение председателю совета МКД</t>
  </si>
  <si>
    <t>Электроэнергия</t>
  </si>
  <si>
    <t xml:space="preserve">Отопление </t>
  </si>
  <si>
    <t>Горячая вода</t>
  </si>
  <si>
    <t xml:space="preserve">Холодная вода </t>
  </si>
  <si>
    <t>Водоотведение</t>
  </si>
  <si>
    <t>Всего по коммунальным услугам</t>
  </si>
  <si>
    <t>банковские услуги</t>
  </si>
  <si>
    <t>канцтовары</t>
  </si>
  <si>
    <t>обновление и содержание програмного
обеспечения, оргтехники</t>
  </si>
  <si>
    <t>4.1</t>
  </si>
  <si>
    <t>4.2</t>
  </si>
  <si>
    <t>4.3</t>
  </si>
  <si>
    <t>4.4</t>
  </si>
  <si>
    <t>юридические услуги</t>
  </si>
  <si>
    <t>4.5</t>
  </si>
  <si>
    <t>__________________/_______________/</t>
  </si>
  <si>
    <t>услуги связи</t>
  </si>
  <si>
    <t>Прочие затраты</t>
  </si>
  <si>
    <t>налоги</t>
  </si>
  <si>
    <t>почтовые расходы</t>
  </si>
  <si>
    <t>прочие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</si>
  <si>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</si>
  <si>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</si>
  <si>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</si>
  <si>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</si>
  <si>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</si>
  <si>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</si>
  <si>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</si>
  <si>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</si>
  <si>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</si>
  <si>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</si>
  <si>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</si>
  <si>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</si>
  <si>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 начала
года</t>
  </si>
  <si>
    <t>Оплата за год</t>
  </si>
  <si>
    <t>Сальдо на
конец отчетного месяца.</t>
  </si>
  <si>
    <t>Жилищные услуги</t>
  </si>
  <si>
    <t>Содержание и уборка м/проводов</t>
  </si>
  <si>
    <t>Содержание и ремонт лифтов</t>
  </si>
  <si>
    <t xml:space="preserve"> </t>
  </si>
  <si>
    <t>Домофон</t>
  </si>
  <si>
    <t>Прочие</t>
  </si>
  <si>
    <t>Итого доходов по ЖУ</t>
  </si>
  <si>
    <t>в т.ч.от населения</t>
  </si>
  <si>
    <t xml:space="preserve">           прочие</t>
  </si>
  <si>
    <t xml:space="preserve">          из бюджета</t>
  </si>
  <si>
    <t>Коммунальные услуги</t>
  </si>
  <si>
    <t>Холодная вода ОДН</t>
  </si>
  <si>
    <t>Водоотведение ОДН</t>
  </si>
  <si>
    <t>Электроэнергия ОДН</t>
  </si>
  <si>
    <t>Отопление</t>
  </si>
  <si>
    <t>Горячая вода ОДН</t>
  </si>
  <si>
    <t>Дотации</t>
  </si>
  <si>
    <t>отопление</t>
  </si>
  <si>
    <t>г/вода</t>
  </si>
  <si>
    <t>Холодная вода</t>
  </si>
  <si>
    <t>Итого доходов по КУ</t>
  </si>
  <si>
    <t>Всего доходов по дому</t>
  </si>
  <si>
    <t>№
п/п</t>
  </si>
  <si>
    <t>Наименование расходов</t>
  </si>
  <si>
    <t>ЭКОНОМИЯ/-ПЕРЕРАСХОД</t>
  </si>
  <si>
    <t>Всего расходов по дому</t>
  </si>
  <si>
    <t>Экономия(+),перерасход(-) 
в целом по дому</t>
  </si>
  <si>
    <t>Директор</t>
  </si>
  <si>
    <t>Г.М.Жериченко</t>
  </si>
  <si>
    <t>Гл.бухгалтер</t>
  </si>
  <si>
    <t>Т.В. Табаргина</t>
  </si>
  <si>
    <t>горячая вода</t>
  </si>
  <si>
    <t>уборщик территории</t>
  </si>
  <si>
    <t>уборщик лестничных клеток</t>
  </si>
  <si>
    <t>материалы, инвентарь</t>
  </si>
  <si>
    <t>охрана труда и техника безопасности</t>
  </si>
  <si>
    <t>дератизация, дезинсекция</t>
  </si>
  <si>
    <t>вывоз КГО</t>
  </si>
  <si>
    <t>затраты на оплату труда 
обслуживающего персонала с отчислениями</t>
  </si>
  <si>
    <t>уборщик мусоропровода</t>
  </si>
  <si>
    <t>1.9</t>
  </si>
  <si>
    <t>1.10</t>
  </si>
  <si>
    <t>аварийные работы (канализация)</t>
  </si>
  <si>
    <t>2.5</t>
  </si>
  <si>
    <t>Содержание домохозяйства</t>
  </si>
  <si>
    <t>Обслуживание конструктивных элементов</t>
  </si>
  <si>
    <t>Обслуживание инженерного оборудования</t>
  </si>
  <si>
    <t>прочие затраты</t>
  </si>
  <si>
    <t>Админ.-управленческое и инженерно-
техническое сопровождение</t>
  </si>
  <si>
    <t>Услуги по начислению платежей и взносов</t>
  </si>
  <si>
    <t>Услуги паспортного стола</t>
  </si>
  <si>
    <t>канцтовары, материалы</t>
  </si>
  <si>
    <t>Итого расходов по ЖУ</t>
  </si>
  <si>
    <t>Итого расходов по КУ</t>
  </si>
  <si>
    <t>Содержание и ремонт мест общего пользов.</t>
  </si>
  <si>
    <t>выполненных работ по содержанию и текущему ремонту общего имущества МКД</t>
  </si>
  <si>
    <t>Зксплуатация, содержание и текущий ремонт сантехоборудования в соответствии с ПиН</t>
  </si>
  <si>
    <t>Зксплуатация, содержание и текущий ремонт электрооборудования в соответствии с ПиН</t>
  </si>
  <si>
    <t>админ.-управленческое и инженерно-техниче- ское сопровождение</t>
  </si>
  <si>
    <t>Зксплуатация, содержание и текущий ремонт конструкт. элементов в соответствии с ПиН</t>
  </si>
  <si>
    <t>4. Прочие услуги</t>
  </si>
  <si>
    <t>Всего прочих услуг</t>
  </si>
  <si>
    <t>5.</t>
  </si>
  <si>
    <t>6. Коммунальные услуги</t>
  </si>
  <si>
    <t>ООО "Каскад-Сервис"</t>
  </si>
  <si>
    <t>Сбор и транспортировка ТКО</t>
  </si>
  <si>
    <t>НДСК(содержание)</t>
  </si>
  <si>
    <t>НДСК(отопление)</t>
  </si>
  <si>
    <t>Комитет ЖКХ</t>
  </si>
  <si>
    <t>Покос травы</t>
  </si>
  <si>
    <t>Комитет ЖКХ(отопление)</t>
  </si>
  <si>
    <t>Свод доходов по ул.Карла Маркса,7а за 2017 год.</t>
  </si>
  <si>
    <t>АКТ № 01/7А от  31 января 2017г.</t>
  </si>
  <si>
    <t>01.01.2017 - 31.01.2017</t>
  </si>
  <si>
    <t>01.02.2017 - 28.02.2017</t>
  </si>
  <si>
    <t>АКТ № 02/7А от  28 февраля 2017г.</t>
  </si>
  <si>
    <t>АКТ № 03/14А от  31 марта 2017г.</t>
  </si>
  <si>
    <t>01.03.2017 - 31.03.2017</t>
  </si>
  <si>
    <t>Сальдо на
01.01.2017г</t>
  </si>
  <si>
    <t>АКТ № 04/7а от  30 апреля 2017г.</t>
  </si>
  <si>
    <t>01.04.2017 - 30.04.2017</t>
  </si>
  <si>
    <t>АКТ № 05/7А от  31 мая 2017г.</t>
  </si>
  <si>
    <t>01.05.2017 - 31.05.2017</t>
  </si>
  <si>
    <t>АКТ № 06/7А от  30 июня 2017г.</t>
  </si>
  <si>
    <t>01.06.2017 - 30.06.2017</t>
  </si>
  <si>
    <t>АКТ № 07/7А от  31 июля 2017г.</t>
  </si>
  <si>
    <t>01.07.2017 - 31.07.2017</t>
  </si>
  <si>
    <t>АКТ № 08/7А от  31 августа 2017г.</t>
  </si>
  <si>
    <t>АКТ № 09/7А от  30 сентября 2017г.</t>
  </si>
  <si>
    <t>01.09.2017 - 30.09.2017</t>
  </si>
  <si>
    <t>АКТ № 10/7А от  31 октября 2017г.</t>
  </si>
  <si>
    <t>01.10.2017 - 31.10.2017</t>
  </si>
  <si>
    <t>АКТ № 12/7А от  31 декабря 2017г.</t>
  </si>
  <si>
    <t>01.12.2017 - 31.12.2017</t>
  </si>
  <si>
    <t>РАСШИФРОВКА РАСХОДОВ  ул.Карла Маркса,7а за 2017 год.</t>
  </si>
  <si>
    <t>1.11</t>
  </si>
  <si>
    <t>1.12</t>
  </si>
  <si>
    <t>1.13</t>
  </si>
  <si>
    <t>1.14</t>
  </si>
  <si>
    <t>01.08.2017 - 31.08.2017</t>
  </si>
  <si>
    <t>АКТ № 11/7А от  30  ноября 2017г.</t>
  </si>
  <si>
    <t>01.11.2017 - 30.11.2017</t>
  </si>
  <si>
    <t>Холодная вода ОДН ЖУ</t>
  </si>
  <si>
    <t>Водоотведение ОДН ЖУ</t>
  </si>
  <si>
    <t>Горячая вода ОДН ЖУ</t>
  </si>
  <si>
    <t>Электроэнергия ОДН ЖУ</t>
  </si>
  <si>
    <t>ОООУК "Каскад-Сервис"</t>
  </si>
  <si>
    <t>ОООУК"Каскад-Сервис"</t>
  </si>
  <si>
    <r>
      <t xml:space="preserve">____________________/ </t>
    </r>
    <r>
      <rPr>
        <u val="single"/>
        <sz val="11"/>
        <color indexed="8"/>
        <rFont val="Times New Roman"/>
        <family val="1"/>
      </rPr>
      <t>В.А. Пянзина</t>
    </r>
    <r>
      <rPr>
        <sz val="11"/>
        <color indexed="8"/>
        <rFont val="Times New Roman"/>
        <family val="1"/>
      </rPr>
      <t>/</t>
    </r>
  </si>
  <si>
    <t>покос травы</t>
  </si>
  <si>
    <t>Монтаж и подключение вытяжных вентиляторов</t>
  </si>
  <si>
    <t>Ремонт межпанельных швов</t>
  </si>
  <si>
    <t>Монтож и подключение вытяжных вентиляторов</t>
  </si>
  <si>
    <t>Ремонт декоративной панели между секциями дома</t>
  </si>
  <si>
    <t>Ремонт межпанельных швов в кв.74</t>
  </si>
  <si>
    <t>Вознаграждение председ. совета МКД</t>
  </si>
  <si>
    <t>В.А.Пянзина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</si>
</sst>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color indexed="8"/>
      <name val="Times New Roman"/>
      <family val="1"/>
    </font>
    <font>
      <i/>
      <sz val="11"/>
      <color indexed="12"/>
      <name val="Times New Roman"/>
      <family val="1"/>
    </font>
    <font>
      <i/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2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2" fontId="12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/>
    </xf>
    <xf numFmtId="2" fontId="16" fillId="0" borderId="10" xfId="0" applyNumberFormat="1" applyFont="1" applyFill="1" applyBorder="1" applyAlignment="1">
      <alignment horizontal="right"/>
    </xf>
    <xf numFmtId="164" fontId="15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2" fontId="15" fillId="0" borderId="10" xfId="0" applyNumberFormat="1" applyFont="1" applyFill="1" applyBorder="1" applyAlignment="1">
      <alignment/>
    </xf>
    <xf numFmtId="2" fontId="15" fillId="0" borderId="0" xfId="0" applyNumberFormat="1" applyFont="1" applyFill="1" applyAlignment="1">
      <alignment/>
    </xf>
    <xf numFmtId="2" fontId="15" fillId="0" borderId="10" xfId="0" applyNumberFormat="1" applyFont="1" applyFill="1" applyBorder="1" applyAlignment="1">
      <alignment horizontal="center" wrapText="1"/>
    </xf>
    <xf numFmtId="2" fontId="15" fillId="0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2" fontId="16" fillId="0" borderId="10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164" fontId="15" fillId="0" borderId="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/>
    </xf>
    <xf numFmtId="2" fontId="18" fillId="0" borderId="10" xfId="0" applyNumberFormat="1" applyFont="1" applyFill="1" applyBorder="1" applyAlignment="1">
      <alignment/>
    </xf>
    <xf numFmtId="2" fontId="18" fillId="0" borderId="10" xfId="0" applyNumberFormat="1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164" fontId="18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right"/>
    </xf>
    <xf numFmtId="2" fontId="16" fillId="0" borderId="0" xfId="0" applyNumberFormat="1" applyFont="1" applyBorder="1" applyAlignment="1">
      <alignment/>
    </xf>
    <xf numFmtId="0" fontId="8" fillId="0" borderId="0" xfId="0" applyFont="1" applyFill="1" applyAlignment="1">
      <alignment horizontal="left"/>
    </xf>
    <xf numFmtId="0" fontId="1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8" fillId="0" borderId="0" xfId="0" applyFont="1" applyFill="1" applyAlignment="1">
      <alignment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2" fontId="21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center" wrapText="1"/>
    </xf>
    <xf numFmtId="2" fontId="17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23" fillId="0" borderId="11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13" xfId="0" applyFont="1" applyFill="1" applyBorder="1" applyAlignment="1">
      <alignment horizontal="center" vertical="center"/>
    </xf>
    <xf numFmtId="2" fontId="23" fillId="0" borderId="14" xfId="0" applyNumberFormat="1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4" fillId="0" borderId="10" xfId="0" applyFont="1" applyFill="1" applyBorder="1" applyAlignment="1">
      <alignment/>
    </xf>
    <xf numFmtId="2" fontId="24" fillId="0" borderId="10" xfId="0" applyNumberFormat="1" applyFont="1" applyFill="1" applyBorder="1" applyAlignment="1">
      <alignment/>
    </xf>
    <xf numFmtId="2" fontId="24" fillId="0" borderId="11" xfId="0" applyNumberFormat="1" applyFont="1" applyFill="1" applyBorder="1" applyAlignment="1">
      <alignment/>
    </xf>
    <xf numFmtId="2" fontId="24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23" fillId="0" borderId="10" xfId="0" applyFont="1" applyFill="1" applyBorder="1" applyAlignment="1">
      <alignment/>
    </xf>
    <xf numFmtId="2" fontId="23" fillId="0" borderId="10" xfId="0" applyNumberFormat="1" applyFont="1" applyFill="1" applyBorder="1" applyAlignment="1">
      <alignment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/>
    </xf>
    <xf numFmtId="2" fontId="23" fillId="0" borderId="11" xfId="0" applyNumberFormat="1" applyFont="1" applyFill="1" applyBorder="1" applyAlignment="1">
      <alignment/>
    </xf>
    <xf numFmtId="2" fontId="25" fillId="0" borderId="11" xfId="0" applyNumberFormat="1" applyFont="1" applyFill="1" applyBorder="1" applyAlignment="1">
      <alignment/>
    </xf>
    <xf numFmtId="0" fontId="26" fillId="0" borderId="10" xfId="0" applyFont="1" applyFill="1" applyBorder="1" applyAlignment="1">
      <alignment/>
    </xf>
    <xf numFmtId="2" fontId="23" fillId="0" borderId="13" xfId="0" applyNumberFormat="1" applyFont="1" applyFill="1" applyBorder="1" applyAlignment="1">
      <alignment horizontal="center"/>
    </xf>
    <xf numFmtId="2" fontId="27" fillId="0" borderId="11" xfId="0" applyNumberFormat="1" applyFont="1" applyFill="1" applyBorder="1" applyAlignment="1">
      <alignment/>
    </xf>
    <xf numFmtId="2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5" fillId="0" borderId="0" xfId="0" applyFont="1" applyFill="1" applyAlignment="1">
      <alignment/>
    </xf>
    <xf numFmtId="2" fontId="25" fillId="0" borderId="10" xfId="0" applyNumberFormat="1" applyFont="1" applyFill="1" applyBorder="1" applyAlignment="1">
      <alignment/>
    </xf>
    <xf numFmtId="2" fontId="25" fillId="0" borderId="0" xfId="0" applyNumberFormat="1" applyFont="1" applyFill="1" applyAlignment="1">
      <alignment/>
    </xf>
    <xf numFmtId="2" fontId="23" fillId="0" borderId="15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2" fontId="23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 wrapText="1"/>
    </xf>
    <xf numFmtId="2" fontId="23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23" fillId="0" borderId="16" xfId="0" applyFont="1" applyFill="1" applyBorder="1" applyAlignment="1">
      <alignment wrapText="1"/>
    </xf>
    <xf numFmtId="0" fontId="23" fillId="0" borderId="16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wrapText="1"/>
    </xf>
    <xf numFmtId="2" fontId="24" fillId="0" borderId="16" xfId="0" applyNumberFormat="1" applyFont="1" applyFill="1" applyBorder="1" applyAlignment="1">
      <alignment/>
    </xf>
    <xf numFmtId="0" fontId="28" fillId="0" borderId="10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/>
    </xf>
    <xf numFmtId="2" fontId="28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9" fillId="0" borderId="10" xfId="0" applyFont="1" applyFill="1" applyBorder="1" applyAlignment="1">
      <alignment horizontal="right"/>
    </xf>
    <xf numFmtId="0" fontId="29" fillId="0" borderId="10" xfId="0" applyFont="1" applyFill="1" applyBorder="1" applyAlignment="1">
      <alignment horizontal="left"/>
    </xf>
    <xf numFmtId="2" fontId="29" fillId="0" borderId="10" xfId="0" applyNumberFormat="1" applyFont="1" applyFill="1" applyBorder="1" applyAlignment="1">
      <alignment horizontal="right"/>
    </xf>
    <xf numFmtId="2" fontId="30" fillId="0" borderId="0" xfId="0" applyNumberFormat="1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12" fillId="0" borderId="10" xfId="0" applyFont="1" applyFill="1" applyBorder="1" applyAlignment="1">
      <alignment horizontal="right"/>
    </xf>
    <xf numFmtId="2" fontId="12" fillId="0" borderId="10" xfId="0" applyNumberFormat="1" applyFont="1" applyFill="1" applyBorder="1" applyAlignment="1">
      <alignment horizontal="right"/>
    </xf>
    <xf numFmtId="2" fontId="12" fillId="0" borderId="11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right"/>
    </xf>
    <xf numFmtId="2" fontId="12" fillId="0" borderId="11" xfId="0" applyNumberFormat="1" applyFont="1" applyFill="1" applyBorder="1" applyAlignment="1">
      <alignment horizontal="right"/>
    </xf>
    <xf numFmtId="2" fontId="31" fillId="0" borderId="0" xfId="0" applyNumberFormat="1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28" fillId="0" borderId="10" xfId="0" applyFont="1" applyFill="1" applyBorder="1" applyAlignment="1">
      <alignment horizontal="right"/>
    </xf>
    <xf numFmtId="0" fontId="28" fillId="0" borderId="10" xfId="0" applyFont="1" applyFill="1" applyBorder="1" applyAlignment="1">
      <alignment horizontal="left"/>
    </xf>
    <xf numFmtId="2" fontId="28" fillId="0" borderId="10" xfId="0" applyNumberFormat="1" applyFont="1" applyFill="1" applyBorder="1" applyAlignment="1">
      <alignment horizontal="right"/>
    </xf>
    <xf numFmtId="2" fontId="28" fillId="0" borderId="11" xfId="0" applyNumberFormat="1" applyFont="1" applyFill="1" applyBorder="1" applyAlignment="1">
      <alignment horizontal="right"/>
    </xf>
    <xf numFmtId="2" fontId="17" fillId="0" borderId="0" xfId="0" applyNumberFormat="1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2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left"/>
    </xf>
    <xf numFmtId="2" fontId="12" fillId="0" borderId="11" xfId="0" applyNumberFormat="1" applyFont="1" applyFill="1" applyBorder="1" applyAlignment="1">
      <alignment horizontal="right"/>
    </xf>
    <xf numFmtId="2" fontId="31" fillId="0" borderId="0" xfId="0" applyNumberFormat="1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32" fillId="0" borderId="0" xfId="0" applyFont="1" applyFill="1" applyAlignment="1">
      <alignment horizontal="left"/>
    </xf>
    <xf numFmtId="0" fontId="1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29" fillId="0" borderId="11" xfId="0" applyFont="1" applyFill="1" applyBorder="1" applyAlignment="1">
      <alignment horizontal="right"/>
    </xf>
    <xf numFmtId="2" fontId="29" fillId="0" borderId="11" xfId="0" applyNumberFormat="1" applyFont="1" applyFill="1" applyBorder="1" applyAlignment="1">
      <alignment horizontal="right"/>
    </xf>
    <xf numFmtId="0" fontId="17" fillId="0" borderId="0" xfId="0" applyFont="1" applyFill="1" applyAlignment="1">
      <alignment horizontal="right"/>
    </xf>
    <xf numFmtId="2" fontId="17" fillId="0" borderId="0" xfId="0" applyNumberFormat="1" applyFont="1" applyFill="1" applyAlignment="1">
      <alignment horizontal="right"/>
    </xf>
    <xf numFmtId="2" fontId="32" fillId="0" borderId="0" xfId="0" applyNumberFormat="1" applyFont="1" applyFill="1" applyAlignment="1">
      <alignment horizontal="left"/>
    </xf>
    <xf numFmtId="0" fontId="28" fillId="0" borderId="10" xfId="0" applyFont="1" applyFill="1" applyBorder="1" applyAlignment="1">
      <alignment horizontal="left" wrapText="1"/>
    </xf>
    <xf numFmtId="2" fontId="17" fillId="0" borderId="1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left" wrapText="1"/>
    </xf>
    <xf numFmtId="2" fontId="17" fillId="0" borderId="0" xfId="0" applyNumberFormat="1" applyFont="1" applyFill="1" applyBorder="1" applyAlignment="1">
      <alignment horizontal="right"/>
    </xf>
    <xf numFmtId="0" fontId="17" fillId="24" borderId="0" xfId="0" applyFont="1" applyFill="1" applyAlignment="1">
      <alignment horizontal="left"/>
    </xf>
    <xf numFmtId="49" fontId="14" fillId="0" borderId="16" xfId="0" applyNumberFormat="1" applyFont="1" applyFill="1" applyBorder="1" applyAlignment="1">
      <alignment/>
    </xf>
    <xf numFmtId="0" fontId="12" fillId="0" borderId="11" xfId="0" applyFont="1" applyBorder="1" applyAlignment="1">
      <alignment/>
    </xf>
    <xf numFmtId="0" fontId="28" fillId="0" borderId="11" xfId="0" applyFont="1" applyBorder="1" applyAlignment="1">
      <alignment wrapText="1"/>
    </xf>
    <xf numFmtId="49" fontId="2" fillId="0" borderId="16" xfId="0" applyNumberFormat="1" applyFont="1" applyFill="1" applyBorder="1" applyAlignment="1">
      <alignment wrapText="1"/>
    </xf>
    <xf numFmtId="2" fontId="28" fillId="0" borderId="11" xfId="0" applyNumberFormat="1" applyFont="1" applyFill="1" applyBorder="1" applyAlignment="1">
      <alignment/>
    </xf>
    <xf numFmtId="2" fontId="28" fillId="0" borderId="10" xfId="0" applyNumberFormat="1" applyFont="1" applyFill="1" applyBorder="1" applyAlignment="1">
      <alignment/>
    </xf>
    <xf numFmtId="0" fontId="28" fillId="0" borderId="11" xfId="0" applyFont="1" applyBorder="1" applyAlignment="1">
      <alignment/>
    </xf>
    <xf numFmtId="0" fontId="16" fillId="0" borderId="11" xfId="0" applyFont="1" applyBorder="1" applyAlignment="1">
      <alignment/>
    </xf>
    <xf numFmtId="0" fontId="3" fillId="0" borderId="11" xfId="0" applyFont="1" applyFill="1" applyBorder="1" applyAlignment="1">
      <alignment wrapText="1"/>
    </xf>
    <xf numFmtId="0" fontId="28" fillId="0" borderId="10" xfId="0" applyFont="1" applyBorder="1" applyAlignment="1">
      <alignment/>
    </xf>
    <xf numFmtId="0" fontId="12" fillId="0" borderId="10" xfId="0" applyFont="1" applyBorder="1" applyAlignment="1">
      <alignment/>
    </xf>
    <xf numFmtId="2" fontId="29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2" fontId="33" fillId="0" borderId="10" xfId="0" applyNumberFormat="1" applyFont="1" applyFill="1" applyBorder="1" applyAlignment="1">
      <alignment horizontal="right"/>
    </xf>
    <xf numFmtId="0" fontId="29" fillId="0" borderId="11" xfId="0" applyFont="1" applyBorder="1" applyAlignment="1">
      <alignment/>
    </xf>
    <xf numFmtId="0" fontId="29" fillId="0" borderId="0" xfId="0" applyFont="1" applyFill="1" applyBorder="1" applyAlignment="1">
      <alignment horizontal="left"/>
    </xf>
    <xf numFmtId="2" fontId="28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/>
    </xf>
    <xf numFmtId="0" fontId="12" fillId="0" borderId="16" xfId="0" applyFont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34" fillId="0" borderId="0" xfId="0" applyFont="1" applyFill="1" applyAlignment="1">
      <alignment horizontal="left"/>
    </xf>
    <xf numFmtId="2" fontId="29" fillId="0" borderId="10" xfId="0" applyNumberFormat="1" applyFont="1" applyBorder="1" applyAlignment="1">
      <alignment/>
    </xf>
    <xf numFmtId="0" fontId="9" fillId="0" borderId="13" xfId="0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/>
    </xf>
    <xf numFmtId="0" fontId="29" fillId="0" borderId="11" xfId="0" applyFont="1" applyBorder="1" applyAlignment="1">
      <alignment wrapText="1"/>
    </xf>
    <xf numFmtId="0" fontId="29" fillId="0" borderId="10" xfId="0" applyFont="1" applyBorder="1" applyAlignment="1">
      <alignment/>
    </xf>
    <xf numFmtId="2" fontId="29" fillId="0" borderId="0" xfId="0" applyNumberFormat="1" applyFont="1" applyFill="1" applyAlignment="1">
      <alignment horizontal="left"/>
    </xf>
    <xf numFmtId="0" fontId="29" fillId="0" borderId="0" xfId="0" applyFont="1" applyFill="1" applyAlignment="1">
      <alignment horizontal="left"/>
    </xf>
    <xf numFmtId="0" fontId="6" fillId="0" borderId="10" xfId="0" applyFont="1" applyFill="1" applyBorder="1" applyAlignment="1">
      <alignment wrapText="1"/>
    </xf>
    <xf numFmtId="2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2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2" fontId="28" fillId="0" borderId="13" xfId="0" applyNumberFormat="1" applyFont="1" applyBorder="1" applyAlignment="1">
      <alignment/>
    </xf>
    <xf numFmtId="2" fontId="12" fillId="0" borderId="13" xfId="0" applyNumberFormat="1" applyFont="1" applyBorder="1" applyAlignment="1">
      <alignment/>
    </xf>
    <xf numFmtId="0" fontId="35" fillId="0" borderId="11" xfId="0" applyFont="1" applyFill="1" applyBorder="1" applyAlignment="1">
      <alignment horizontal="right"/>
    </xf>
    <xf numFmtId="2" fontId="35" fillId="0" borderId="10" xfId="0" applyNumberFormat="1" applyFont="1" applyFill="1" applyBorder="1" applyAlignment="1">
      <alignment horizontal="right"/>
    </xf>
    <xf numFmtId="2" fontId="35" fillId="0" borderId="0" xfId="0" applyNumberFormat="1" applyFont="1" applyFill="1" applyAlignment="1">
      <alignment horizontal="left"/>
    </xf>
    <xf numFmtId="0" fontId="35" fillId="0" borderId="0" xfId="0" applyFont="1" applyFill="1" applyAlignment="1">
      <alignment horizontal="left"/>
    </xf>
    <xf numFmtId="2" fontId="12" fillId="0" borderId="0" xfId="0" applyNumberFormat="1" applyFont="1" applyFill="1" applyAlignment="1">
      <alignment horizontal="right"/>
    </xf>
    <xf numFmtId="2" fontId="28" fillId="0" borderId="0" xfId="0" applyNumberFormat="1" applyFont="1" applyFill="1" applyAlignment="1">
      <alignment horizontal="right"/>
    </xf>
    <xf numFmtId="0" fontId="24" fillId="0" borderId="0" xfId="0" applyFont="1" applyFill="1" applyAlignment="1">
      <alignment horizontal="left"/>
    </xf>
    <xf numFmtId="2" fontId="24" fillId="0" borderId="10" xfId="0" applyNumberFormat="1" applyFont="1" applyFill="1" applyBorder="1" applyAlignment="1">
      <alignment horizontal="left"/>
    </xf>
    <xf numFmtId="2" fontId="24" fillId="0" borderId="0" xfId="0" applyNumberFormat="1" applyFont="1" applyFill="1" applyAlignment="1">
      <alignment horizontal="left"/>
    </xf>
    <xf numFmtId="9" fontId="24" fillId="0" borderId="10" xfId="0" applyNumberFormat="1" applyFont="1" applyFill="1" applyBorder="1" applyAlignment="1">
      <alignment horizontal="left"/>
    </xf>
    <xf numFmtId="0" fontId="17" fillId="24" borderId="13" xfId="0" applyFont="1" applyFill="1" applyBorder="1" applyAlignment="1">
      <alignment horizontal="center" wrapText="1"/>
    </xf>
    <xf numFmtId="2" fontId="35" fillId="0" borderId="10" xfId="0" applyNumberFormat="1" applyFont="1" applyBorder="1" applyAlignment="1">
      <alignment/>
    </xf>
    <xf numFmtId="2" fontId="24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left" wrapText="1"/>
    </xf>
    <xf numFmtId="2" fontId="28" fillId="0" borderId="11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2" fontId="23" fillId="0" borderId="11" xfId="0" applyNumberFormat="1" applyFont="1" applyFill="1" applyBorder="1" applyAlignment="1">
      <alignment horizontal="center"/>
    </xf>
    <xf numFmtId="2" fontId="23" fillId="0" borderId="13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3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23" fillId="0" borderId="16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49" fontId="3" fillId="0" borderId="0" xfId="0" applyNumberFormat="1" applyFont="1" applyFill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49" fontId="10" fillId="0" borderId="0" xfId="0" applyNumberFormat="1" applyFont="1" applyFill="1" applyAlignment="1">
      <alignment horizontal="center"/>
    </xf>
    <xf numFmtId="49" fontId="14" fillId="0" borderId="16" xfId="0" applyNumberFormat="1" applyFont="1" applyFill="1" applyBorder="1" applyAlignment="1">
      <alignment horizontal="left"/>
    </xf>
    <xf numFmtId="0" fontId="15" fillId="0" borderId="11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4" fontId="4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49" fontId="2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72;&#1089;&#1082;&#1072;&#1076;\&#1058;&#1045;&#1050;&#1059;&#1063;&#1050;&#1040;%20&#1047;&#1040;%202014%20&#1075;&#1086;&#1076;%20&#1092;&#1072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М.8а"/>
      <sheetName val="расходы"/>
      <sheetName val="Свод "/>
      <sheetName val="Б-10А"/>
      <sheetName val="10А"/>
      <sheetName val="Б-10Б"/>
      <sheetName val="Лист4"/>
      <sheetName val="Лист3"/>
      <sheetName val="10Б"/>
      <sheetName val="К-17А"/>
      <sheetName val="Лист2"/>
      <sheetName val="17А"/>
      <sheetName val="К-17Б"/>
      <sheetName val="17Б"/>
      <sheetName val="К-19Б"/>
      <sheetName val="19Б"/>
      <sheetName val="Ст-42"/>
      <sheetName val="42"/>
      <sheetName val="Сп-4"/>
      <sheetName val="4"/>
      <sheetName val="1Мая-13"/>
      <sheetName val="13"/>
      <sheetName val="К.М14А"/>
      <sheetName val="14А"/>
      <sheetName val="Ч-22"/>
      <sheetName val="22"/>
      <sheetName val="Ч-28А "/>
      <sheetName val="28А"/>
      <sheetName val="Ч-38"/>
      <sheetName val="38"/>
      <sheetName val="Ч-32"/>
      <sheetName val="гаражи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1"/>
  <sheetViews>
    <sheetView tabSelected="1" zoomScalePageLayoutView="0" workbookViewId="0" topLeftCell="A1">
      <selection activeCell="X84" sqref="X75:X84"/>
    </sheetView>
  </sheetViews>
  <sheetFormatPr defaultColWidth="9.140625" defaultRowHeight="15"/>
  <cols>
    <col min="1" max="1" width="4.00390625" style="127" customWidth="1"/>
    <col min="2" max="2" width="41.8515625" style="127" customWidth="1"/>
    <col min="3" max="3" width="10.140625" style="127" customWidth="1"/>
    <col min="4" max="4" width="12.00390625" style="127" hidden="1" customWidth="1"/>
    <col min="5" max="5" width="0.42578125" style="127" hidden="1" customWidth="1"/>
    <col min="6" max="9" width="10.7109375" style="127" hidden="1" customWidth="1"/>
    <col min="10" max="10" width="11.57421875" style="127" hidden="1" customWidth="1"/>
    <col min="11" max="11" width="10.8515625" style="127" hidden="1" customWidth="1"/>
    <col min="12" max="12" width="11.28125" style="127" hidden="1" customWidth="1"/>
    <col min="13" max="13" width="10.7109375" style="127" hidden="1" customWidth="1"/>
    <col min="14" max="14" width="12.00390625" style="127" hidden="1" customWidth="1"/>
    <col min="15" max="15" width="10.57421875" style="127" hidden="1" customWidth="1"/>
    <col min="16" max="16" width="12.8515625" style="127" customWidth="1"/>
    <col min="17" max="17" width="11.7109375" style="127" customWidth="1"/>
    <col min="18" max="18" width="13.00390625" style="127" bestFit="1" customWidth="1"/>
    <col min="19" max="19" width="13.140625" style="126" bestFit="1" customWidth="1"/>
    <col min="20" max="20" width="13.00390625" style="127" bestFit="1" customWidth="1"/>
    <col min="21" max="21" width="12.421875" style="127" bestFit="1" customWidth="1"/>
    <col min="22" max="22" width="10.57421875" style="127" bestFit="1" customWidth="1"/>
    <col min="23" max="23" width="9.140625" style="127" customWidth="1"/>
    <col min="24" max="24" width="10.421875" style="127" bestFit="1" customWidth="1"/>
    <col min="25" max="25" width="9.140625" style="127" customWidth="1"/>
    <col min="26" max="26" width="10.421875" style="127" bestFit="1" customWidth="1"/>
    <col min="27" max="16384" width="9.140625" style="127" customWidth="1"/>
  </cols>
  <sheetData>
    <row r="1" spans="2:19" s="59" customFormat="1" ht="20.25" customHeight="1">
      <c r="B1" s="206" t="s">
        <v>165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63"/>
    </row>
    <row r="2" spans="2:19" s="64" customFormat="1" ht="54" customHeight="1">
      <c r="B2" s="65"/>
      <c r="C2" s="66" t="s">
        <v>172</v>
      </c>
      <c r="D2" s="67" t="s">
        <v>79</v>
      </c>
      <c r="E2" s="67" t="s">
        <v>80</v>
      </c>
      <c r="F2" s="67" t="s">
        <v>81</v>
      </c>
      <c r="G2" s="67" t="s">
        <v>82</v>
      </c>
      <c r="H2" s="67" t="s">
        <v>83</v>
      </c>
      <c r="I2" s="67" t="s">
        <v>84</v>
      </c>
      <c r="J2" s="67" t="s">
        <v>85</v>
      </c>
      <c r="K2" s="67" t="s">
        <v>86</v>
      </c>
      <c r="L2" s="67" t="s">
        <v>87</v>
      </c>
      <c r="M2" s="67" t="s">
        <v>88</v>
      </c>
      <c r="N2" s="67" t="s">
        <v>89</v>
      </c>
      <c r="O2" s="67" t="s">
        <v>90</v>
      </c>
      <c r="P2" s="67" t="s">
        <v>91</v>
      </c>
      <c r="Q2" s="66" t="s">
        <v>92</v>
      </c>
      <c r="R2" s="66" t="s">
        <v>93</v>
      </c>
      <c r="S2" s="68"/>
    </row>
    <row r="3" spans="2:19" s="69" customFormat="1" ht="15.75">
      <c r="B3" s="70" t="s">
        <v>94</v>
      </c>
      <c r="C3" s="71"/>
      <c r="D3" s="72"/>
      <c r="E3" s="72"/>
      <c r="F3" s="72"/>
      <c r="G3" s="72"/>
      <c r="H3" s="72"/>
      <c r="I3" s="72"/>
      <c r="J3" s="73"/>
      <c r="K3" s="73"/>
      <c r="L3" s="73"/>
      <c r="M3" s="73"/>
      <c r="N3" s="73"/>
      <c r="O3" s="73"/>
      <c r="P3" s="73"/>
      <c r="Q3" s="74"/>
      <c r="S3" s="75"/>
    </row>
    <row r="4" spans="2:19" s="76" customFormat="1" ht="15.75">
      <c r="B4" s="77" t="s">
        <v>148</v>
      </c>
      <c r="C4" s="78"/>
      <c r="D4" s="78"/>
      <c r="E4" s="78"/>
      <c r="F4" s="78"/>
      <c r="G4" s="78"/>
      <c r="H4" s="78">
        <v>78017.2</v>
      </c>
      <c r="I4" s="78">
        <v>78017.2</v>
      </c>
      <c r="J4" s="78">
        <v>77847.29</v>
      </c>
      <c r="K4" s="78">
        <v>77335.46</v>
      </c>
      <c r="L4" s="78">
        <v>78698.94</v>
      </c>
      <c r="M4" s="78">
        <v>76021.8</v>
      </c>
      <c r="N4" s="78">
        <v>78489.58</v>
      </c>
      <c r="O4" s="78">
        <f>78489.58+88.9</f>
        <v>78578.48</v>
      </c>
      <c r="P4" s="79">
        <f aca="true" t="shared" si="0" ref="P4:P27">SUM(D4:O4)</f>
        <v>623005.95</v>
      </c>
      <c r="Q4" s="79">
        <v>507855.09</v>
      </c>
      <c r="R4" s="78">
        <f>C4+P4-Q4</f>
        <v>115150.85999999993</v>
      </c>
      <c r="S4" s="80"/>
    </row>
    <row r="5" spans="2:19" s="76" customFormat="1" ht="15.75">
      <c r="B5" s="77" t="s">
        <v>196</v>
      </c>
      <c r="C5" s="78"/>
      <c r="D5" s="78"/>
      <c r="E5" s="78"/>
      <c r="F5" s="78"/>
      <c r="G5" s="78"/>
      <c r="H5" s="78">
        <v>348.84</v>
      </c>
      <c r="I5" s="78">
        <v>476.31</v>
      </c>
      <c r="J5" s="78">
        <v>395.72</v>
      </c>
      <c r="K5" s="78">
        <v>465.05</v>
      </c>
      <c r="L5" s="78">
        <v>465.05</v>
      </c>
      <c r="M5" s="79">
        <v>465.05</v>
      </c>
      <c r="N5" s="79">
        <v>467.87</v>
      </c>
      <c r="O5" s="79">
        <v>467.87</v>
      </c>
      <c r="P5" s="79">
        <f t="shared" si="0"/>
        <v>3551.7599999999998</v>
      </c>
      <c r="Q5" s="79">
        <v>2906.93</v>
      </c>
      <c r="R5" s="78">
        <f>C5+P5-Q5</f>
        <v>644.8299999999999</v>
      </c>
      <c r="S5" s="80"/>
    </row>
    <row r="6" spans="2:19" s="76" customFormat="1" ht="15.75">
      <c r="B6" s="77" t="s">
        <v>197</v>
      </c>
      <c r="C6" s="78"/>
      <c r="D6" s="78"/>
      <c r="E6" s="78"/>
      <c r="F6" s="78"/>
      <c r="G6" s="78"/>
      <c r="H6" s="78"/>
      <c r="I6" s="78">
        <v>581.35</v>
      </c>
      <c r="J6" s="78">
        <v>639.55</v>
      </c>
      <c r="K6" s="78">
        <v>639.55</v>
      </c>
      <c r="L6" s="78">
        <v>639.55</v>
      </c>
      <c r="M6" s="79">
        <v>639.55</v>
      </c>
      <c r="N6" s="79">
        <v>643.42</v>
      </c>
      <c r="O6" s="79">
        <v>643.42</v>
      </c>
      <c r="P6" s="79">
        <f t="shared" si="0"/>
        <v>4426.39</v>
      </c>
      <c r="Q6" s="79">
        <v>4285.01</v>
      </c>
      <c r="R6" s="78">
        <f>C6+P6-Q6</f>
        <v>141.3800000000001</v>
      </c>
      <c r="S6" s="80"/>
    </row>
    <row r="7" spans="2:19" s="76" customFormat="1" ht="15.75">
      <c r="B7" s="77" t="s">
        <v>198</v>
      </c>
      <c r="C7" s="78"/>
      <c r="D7" s="78"/>
      <c r="E7" s="78"/>
      <c r="F7" s="78"/>
      <c r="G7" s="78"/>
      <c r="H7" s="78">
        <v>988.36</v>
      </c>
      <c r="I7" s="78">
        <v>1337.13</v>
      </c>
      <c r="J7" s="78">
        <v>1392.3</v>
      </c>
      <c r="K7" s="78">
        <v>1395.21</v>
      </c>
      <c r="L7" s="78">
        <v>1395.21</v>
      </c>
      <c r="M7" s="79">
        <f>1395.21+1.13</f>
        <v>1396.3400000000001</v>
      </c>
      <c r="N7" s="79">
        <v>1403.66</v>
      </c>
      <c r="O7" s="79">
        <v>1403.66</v>
      </c>
      <c r="P7" s="79">
        <f t="shared" si="0"/>
        <v>10711.87</v>
      </c>
      <c r="Q7" s="79">
        <v>8642.99</v>
      </c>
      <c r="R7" s="78">
        <f>C7+P7-Q7</f>
        <v>2068.880000000001</v>
      </c>
      <c r="S7" s="80"/>
    </row>
    <row r="8" spans="2:19" s="76" customFormat="1" ht="15.75">
      <c r="B8" s="77" t="s">
        <v>199</v>
      </c>
      <c r="C8" s="78"/>
      <c r="D8" s="78"/>
      <c r="E8" s="78"/>
      <c r="F8" s="78"/>
      <c r="G8" s="78"/>
      <c r="H8" s="78">
        <v>9882.95</v>
      </c>
      <c r="I8" s="78">
        <v>14638.79</v>
      </c>
      <c r="J8" s="78">
        <v>15067.78</v>
      </c>
      <c r="K8" s="78">
        <v>15231.4</v>
      </c>
      <c r="L8" s="78">
        <v>15231.4</v>
      </c>
      <c r="M8" s="79">
        <v>-19103.31</v>
      </c>
      <c r="N8" s="79">
        <v>9591.84</v>
      </c>
      <c r="O8" s="79">
        <v>-1977.35</v>
      </c>
      <c r="P8" s="79">
        <f t="shared" si="0"/>
        <v>58563.50000000001</v>
      </c>
      <c r="Q8" s="79">
        <v>66287.9</v>
      </c>
      <c r="R8" s="78">
        <f>C8+P8-Q8</f>
        <v>-7724.399999999987</v>
      </c>
      <c r="S8" s="80"/>
    </row>
    <row r="9" spans="2:19" s="76" customFormat="1" ht="15.75">
      <c r="B9" s="77" t="s">
        <v>159</v>
      </c>
      <c r="C9" s="78"/>
      <c r="D9" s="78"/>
      <c r="E9" s="78"/>
      <c r="F9" s="78"/>
      <c r="G9" s="78"/>
      <c r="H9" s="78">
        <v>12789.7</v>
      </c>
      <c r="I9" s="78">
        <v>12789.7</v>
      </c>
      <c r="J9" s="78">
        <v>12614.33</v>
      </c>
      <c r="K9" s="78">
        <v>12789.7</v>
      </c>
      <c r="L9" s="78">
        <v>12789.7</v>
      </c>
      <c r="M9" s="78">
        <v>12789.7</v>
      </c>
      <c r="N9" s="79">
        <v>12867.14</v>
      </c>
      <c r="O9" s="79">
        <f>12867.14+14.58</f>
        <v>12881.72</v>
      </c>
      <c r="P9" s="79">
        <f t="shared" si="0"/>
        <v>102311.69</v>
      </c>
      <c r="Q9" s="79">
        <v>83465.13</v>
      </c>
      <c r="R9" s="78">
        <f aca="true" t="shared" si="1" ref="R9:R27">C9+P9-Q9</f>
        <v>18846.559999999998</v>
      </c>
      <c r="S9" s="80"/>
    </row>
    <row r="10" spans="2:19" s="76" customFormat="1" ht="15.75">
      <c r="B10" s="77" t="s">
        <v>96</v>
      </c>
      <c r="C10" s="78"/>
      <c r="D10" s="78"/>
      <c r="E10" s="78"/>
      <c r="F10" s="78"/>
      <c r="G10" s="78"/>
      <c r="H10" s="78">
        <v>24959.12</v>
      </c>
      <c r="I10" s="78">
        <v>24959.12</v>
      </c>
      <c r="J10" s="78">
        <v>24945</v>
      </c>
      <c r="K10" s="78">
        <v>24959.12</v>
      </c>
      <c r="L10" s="78">
        <v>24959.12</v>
      </c>
      <c r="M10" s="78">
        <v>24959.12</v>
      </c>
      <c r="N10" s="78">
        <v>25132.66</v>
      </c>
      <c r="O10" s="78">
        <f>25132.66+32.66</f>
        <v>25165.32</v>
      </c>
      <c r="P10" s="79">
        <f t="shared" si="0"/>
        <v>200038.58</v>
      </c>
      <c r="Q10" s="79">
        <v>164692.95</v>
      </c>
      <c r="R10" s="78">
        <f t="shared" si="1"/>
        <v>35345.629999999976</v>
      </c>
      <c r="S10" s="80"/>
    </row>
    <row r="11" spans="2:19" s="76" customFormat="1" ht="15.75">
      <c r="B11" s="77" t="s">
        <v>98</v>
      </c>
      <c r="C11" s="78"/>
      <c r="D11" s="78"/>
      <c r="E11" s="78"/>
      <c r="F11" s="78"/>
      <c r="G11" s="78"/>
      <c r="H11" s="78">
        <v>3368</v>
      </c>
      <c r="I11" s="78">
        <v>3306</v>
      </c>
      <c r="J11" s="78">
        <v>3045.58</v>
      </c>
      <c r="K11" s="78">
        <v>3987.74</v>
      </c>
      <c r="L11" s="78">
        <v>2624.26</v>
      </c>
      <c r="M11" s="78">
        <v>3463.66</v>
      </c>
      <c r="N11" s="79">
        <v>3347</v>
      </c>
      <c r="O11" s="79">
        <f>3347+1.3</f>
        <v>3348.3</v>
      </c>
      <c r="P11" s="79">
        <f t="shared" si="0"/>
        <v>26490.539999999997</v>
      </c>
      <c r="Q11" s="79">
        <v>21728.79</v>
      </c>
      <c r="R11" s="78">
        <f t="shared" si="1"/>
        <v>4761.749999999996</v>
      </c>
      <c r="S11" s="80"/>
    </row>
    <row r="12" spans="2:21" s="76" customFormat="1" ht="15.75">
      <c r="B12" s="77" t="s">
        <v>99</v>
      </c>
      <c r="C12" s="78"/>
      <c r="D12" s="78"/>
      <c r="E12" s="78"/>
      <c r="F12" s="78"/>
      <c r="G12" s="78"/>
      <c r="H12" s="78">
        <v>600</v>
      </c>
      <c r="I12" s="78">
        <v>600</v>
      </c>
      <c r="J12" s="78">
        <v>600</v>
      </c>
      <c r="K12" s="78">
        <f>750+600</f>
        <v>1350</v>
      </c>
      <c r="L12" s="78">
        <f>750+600</f>
        <v>1350</v>
      </c>
      <c r="M12" s="78">
        <v>5350</v>
      </c>
      <c r="N12" s="78">
        <v>5350</v>
      </c>
      <c r="O12" s="78">
        <v>5350</v>
      </c>
      <c r="P12" s="79">
        <f t="shared" si="0"/>
        <v>20550</v>
      </c>
      <c r="Q12" s="78">
        <v>7200</v>
      </c>
      <c r="R12" s="78">
        <f t="shared" si="1"/>
        <v>13350</v>
      </c>
      <c r="S12" s="80"/>
      <c r="U12" s="80"/>
    </row>
    <row r="13" spans="2:21" s="191" customFormat="1" ht="15.75">
      <c r="B13" s="194">
        <v>0.15</v>
      </c>
      <c r="C13" s="197"/>
      <c r="D13" s="197">
        <f>-D12*15%</f>
        <v>0</v>
      </c>
      <c r="E13" s="197">
        <f>-E12*15%</f>
        <v>0</v>
      </c>
      <c r="F13" s="197">
        <f>-F12*15%</f>
        <v>0</v>
      </c>
      <c r="G13" s="197">
        <f aca="true" t="shared" si="2" ref="G13:O13">-G12*15%</f>
        <v>0</v>
      </c>
      <c r="H13" s="197">
        <f t="shared" si="2"/>
        <v>-90</v>
      </c>
      <c r="I13" s="197">
        <f t="shared" si="2"/>
        <v>-90</v>
      </c>
      <c r="J13" s="197">
        <f t="shared" si="2"/>
        <v>-90</v>
      </c>
      <c r="K13" s="197">
        <f t="shared" si="2"/>
        <v>-202.5</v>
      </c>
      <c r="L13" s="197">
        <f t="shared" si="2"/>
        <v>-202.5</v>
      </c>
      <c r="M13" s="197">
        <f t="shared" si="2"/>
        <v>-802.5</v>
      </c>
      <c r="N13" s="197">
        <f t="shared" si="2"/>
        <v>-802.5</v>
      </c>
      <c r="O13" s="197">
        <f t="shared" si="2"/>
        <v>-802.5</v>
      </c>
      <c r="P13" s="79">
        <f t="shared" si="0"/>
        <v>-3082.5</v>
      </c>
      <c r="Q13" s="192"/>
      <c r="R13" s="78">
        <f t="shared" si="1"/>
        <v>-3082.5</v>
      </c>
      <c r="S13" s="193"/>
      <c r="U13" s="193"/>
    </row>
    <row r="14" spans="2:21" s="191" customFormat="1" ht="15.75">
      <c r="B14" s="194" t="s">
        <v>160</v>
      </c>
      <c r="C14" s="192"/>
      <c r="D14" s="192"/>
      <c r="E14" s="192"/>
      <c r="F14" s="192"/>
      <c r="G14" s="192"/>
      <c r="H14" s="192">
        <v>805.78</v>
      </c>
      <c r="I14" s="192">
        <v>805.78</v>
      </c>
      <c r="J14" s="192">
        <v>805.78</v>
      </c>
      <c r="K14" s="192">
        <v>805.78</v>
      </c>
      <c r="L14" s="192">
        <v>805.78</v>
      </c>
      <c r="M14" s="192">
        <v>805.78</v>
      </c>
      <c r="N14" s="192">
        <v>805.78</v>
      </c>
      <c r="O14" s="192">
        <v>805.78</v>
      </c>
      <c r="P14" s="79">
        <f t="shared" si="0"/>
        <v>6446.239999999999</v>
      </c>
      <c r="Q14" s="197"/>
      <c r="R14" s="78">
        <f t="shared" si="1"/>
        <v>6446.239999999999</v>
      </c>
      <c r="S14" s="193"/>
      <c r="U14" s="193"/>
    </row>
    <row r="15" spans="2:21" s="191" customFormat="1" ht="15.75">
      <c r="B15" s="194" t="s">
        <v>162</v>
      </c>
      <c r="C15" s="192"/>
      <c r="D15" s="192"/>
      <c r="E15" s="192"/>
      <c r="F15" s="192"/>
      <c r="G15" s="192"/>
      <c r="H15" s="192">
        <v>806.22</v>
      </c>
      <c r="I15" s="192">
        <v>806.22</v>
      </c>
      <c r="J15" s="192">
        <v>806.22</v>
      </c>
      <c r="K15" s="192">
        <v>806.22</v>
      </c>
      <c r="L15" s="192">
        <v>806.22</v>
      </c>
      <c r="M15" s="192"/>
      <c r="N15" s="192"/>
      <c r="O15" s="192"/>
      <c r="P15" s="79">
        <f t="shared" si="0"/>
        <v>4031.1000000000004</v>
      </c>
      <c r="Q15" s="197"/>
      <c r="R15" s="78">
        <f t="shared" si="1"/>
        <v>4031.1000000000004</v>
      </c>
      <c r="S15" s="193"/>
      <c r="U15" s="193"/>
    </row>
    <row r="16" spans="2:19" s="81" customFormat="1" ht="15.75">
      <c r="B16" s="82" t="s">
        <v>100</v>
      </c>
      <c r="C16" s="83">
        <f aca="true" t="shared" si="3" ref="C16:N16">SUM(C4:C15)</f>
        <v>0</v>
      </c>
      <c r="D16" s="83">
        <f t="shared" si="3"/>
        <v>0</v>
      </c>
      <c r="E16" s="83">
        <f t="shared" si="3"/>
        <v>0</v>
      </c>
      <c r="F16" s="83">
        <f t="shared" si="3"/>
        <v>0</v>
      </c>
      <c r="G16" s="83">
        <f t="shared" si="3"/>
        <v>0</v>
      </c>
      <c r="H16" s="83">
        <f t="shared" si="3"/>
        <v>132476.16999999998</v>
      </c>
      <c r="I16" s="83">
        <f t="shared" si="3"/>
        <v>138227.6</v>
      </c>
      <c r="J16" s="83">
        <f t="shared" si="3"/>
        <v>138069.55</v>
      </c>
      <c r="K16" s="83">
        <f t="shared" si="3"/>
        <v>139562.73</v>
      </c>
      <c r="L16" s="83">
        <f t="shared" si="3"/>
        <v>139562.73</v>
      </c>
      <c r="M16" s="83">
        <f t="shared" si="3"/>
        <v>105985.19</v>
      </c>
      <c r="N16" s="83">
        <f t="shared" si="3"/>
        <v>137296.44999999998</v>
      </c>
      <c r="O16" s="83">
        <f>SUM(O4:O15)</f>
        <v>125864.7</v>
      </c>
      <c r="P16" s="83">
        <f>SUM(P4:P15)</f>
        <v>1057045.1199999999</v>
      </c>
      <c r="Q16" s="83">
        <f>SUM(Q4:Q15)</f>
        <v>867064.79</v>
      </c>
      <c r="R16" s="83">
        <f t="shared" si="1"/>
        <v>189980.32999999984</v>
      </c>
      <c r="S16" s="84"/>
    </row>
    <row r="17" spans="2:19" s="76" customFormat="1" ht="15.75">
      <c r="B17" s="82"/>
      <c r="C17" s="78"/>
      <c r="D17" s="78"/>
      <c r="E17" s="78"/>
      <c r="F17" s="78"/>
      <c r="G17" s="78"/>
      <c r="H17" s="78"/>
      <c r="I17" s="78"/>
      <c r="J17" s="79"/>
      <c r="K17" s="79"/>
      <c r="L17" s="79"/>
      <c r="M17" s="79"/>
      <c r="N17" s="79"/>
      <c r="O17" s="79"/>
      <c r="P17" s="79"/>
      <c r="Q17" s="79"/>
      <c r="R17" s="78"/>
      <c r="S17" s="80"/>
    </row>
    <row r="18" spans="2:21" s="76" customFormat="1" ht="15.75">
      <c r="B18" s="204" t="s">
        <v>104</v>
      </c>
      <c r="C18" s="205"/>
      <c r="D18" s="89"/>
      <c r="E18" s="89"/>
      <c r="F18" s="89"/>
      <c r="G18" s="89"/>
      <c r="H18" s="89"/>
      <c r="I18" s="89"/>
      <c r="J18" s="90"/>
      <c r="K18" s="90"/>
      <c r="L18" s="90"/>
      <c r="M18" s="90"/>
      <c r="N18" s="90"/>
      <c r="O18" s="90"/>
      <c r="P18" s="79"/>
      <c r="Q18" s="90"/>
      <c r="R18" s="78"/>
      <c r="S18" s="91"/>
      <c r="T18" s="92"/>
      <c r="U18" s="92"/>
    </row>
    <row r="19" spans="2:19" s="76" customFormat="1" ht="15.75">
      <c r="B19" s="77" t="s">
        <v>61</v>
      </c>
      <c r="C19" s="78"/>
      <c r="D19" s="78"/>
      <c r="E19" s="78"/>
      <c r="F19" s="78"/>
      <c r="G19" s="78"/>
      <c r="H19" s="78">
        <v>10965.31</v>
      </c>
      <c r="I19" s="78">
        <v>11678.28</v>
      </c>
      <c r="J19" s="79">
        <v>11058.89</v>
      </c>
      <c r="K19" s="79">
        <v>10199.63</v>
      </c>
      <c r="L19" s="79">
        <v>10788.6</v>
      </c>
      <c r="M19" s="79">
        <v>7574.98</v>
      </c>
      <c r="N19" s="79">
        <v>10951.09</v>
      </c>
      <c r="O19" s="79">
        <f>10145.03+7.14</f>
        <v>10152.17</v>
      </c>
      <c r="P19" s="79">
        <f t="shared" si="0"/>
        <v>83368.94999999998</v>
      </c>
      <c r="Q19" s="79">
        <f>60982.69+101.3</f>
        <v>61083.990000000005</v>
      </c>
      <c r="R19" s="78">
        <f t="shared" si="1"/>
        <v>22284.959999999977</v>
      </c>
      <c r="S19" s="80"/>
    </row>
    <row r="20" spans="2:19" s="76" customFormat="1" ht="15.75">
      <c r="B20" s="77" t="s">
        <v>62</v>
      </c>
      <c r="C20" s="78"/>
      <c r="D20" s="78"/>
      <c r="E20" s="78"/>
      <c r="F20" s="78"/>
      <c r="G20" s="78"/>
      <c r="H20" s="78">
        <v>11814.91</v>
      </c>
      <c r="I20" s="78">
        <v>13250.89</v>
      </c>
      <c r="J20" s="79">
        <v>12128.24</v>
      </c>
      <c r="K20" s="79">
        <v>10502.22</v>
      </c>
      <c r="L20" s="79">
        <v>13623.7</v>
      </c>
      <c r="M20" s="79">
        <v>10762.44</v>
      </c>
      <c r="N20" s="79">
        <v>13419.56</v>
      </c>
      <c r="O20" s="79">
        <f>12089.65+14.41</f>
        <v>12104.06</v>
      </c>
      <c r="P20" s="79">
        <f t="shared" si="0"/>
        <v>97606.02</v>
      </c>
      <c r="Q20" s="79">
        <v>69197.01</v>
      </c>
      <c r="R20" s="78">
        <f t="shared" si="1"/>
        <v>28409.01000000001</v>
      </c>
      <c r="S20" s="80"/>
    </row>
    <row r="21" spans="2:19" s="76" customFormat="1" ht="15.75">
      <c r="B21" s="77" t="s">
        <v>58</v>
      </c>
      <c r="C21" s="78"/>
      <c r="D21" s="78"/>
      <c r="E21" s="78"/>
      <c r="F21" s="78"/>
      <c r="G21" s="78"/>
      <c r="H21" s="78">
        <v>33649.72</v>
      </c>
      <c r="I21" s="78">
        <v>37677.57</v>
      </c>
      <c r="J21" s="79">
        <v>29619.61</v>
      </c>
      <c r="K21" s="79">
        <v>31342.59</v>
      </c>
      <c r="L21" s="79">
        <v>37586.25</v>
      </c>
      <c r="M21" s="79">
        <v>27705.53</v>
      </c>
      <c r="N21" s="79">
        <v>37416.12</v>
      </c>
      <c r="O21" s="79">
        <f>37925.9+85.07</f>
        <v>38010.97</v>
      </c>
      <c r="P21" s="79">
        <f t="shared" si="0"/>
        <v>273008.36</v>
      </c>
      <c r="Q21" s="79">
        <f>213027.36+95.03</f>
        <v>213122.38999999998</v>
      </c>
      <c r="R21" s="78">
        <f t="shared" si="1"/>
        <v>59885.97</v>
      </c>
      <c r="S21" s="80"/>
    </row>
    <row r="22" spans="2:19" s="76" customFormat="1" ht="15.75">
      <c r="B22" s="77" t="s">
        <v>108</v>
      </c>
      <c r="C22" s="78"/>
      <c r="D22" s="78"/>
      <c r="E22" s="78"/>
      <c r="F22" s="78"/>
      <c r="G22" s="78"/>
      <c r="H22" s="78">
        <v>36388.72</v>
      </c>
      <c r="I22" s="78"/>
      <c r="J22" s="78">
        <v>-4377.47</v>
      </c>
      <c r="K22" s="79">
        <v>2388.79</v>
      </c>
      <c r="L22" s="79">
        <v>7915.19</v>
      </c>
      <c r="M22" s="79">
        <v>67220.13</v>
      </c>
      <c r="N22" s="79">
        <v>91035.63</v>
      </c>
      <c r="O22" s="79">
        <v>149318.42</v>
      </c>
      <c r="P22" s="79">
        <f t="shared" si="0"/>
        <v>349889.41000000003</v>
      </c>
      <c r="Q22" s="79">
        <v>172525.76</v>
      </c>
      <c r="R22" s="78">
        <f t="shared" si="1"/>
        <v>177363.65000000002</v>
      </c>
      <c r="S22" s="80"/>
    </row>
    <row r="23" spans="2:19" s="76" customFormat="1" ht="15.75">
      <c r="B23" s="77" t="s">
        <v>60</v>
      </c>
      <c r="C23" s="78"/>
      <c r="D23" s="78"/>
      <c r="E23" s="78"/>
      <c r="F23" s="78"/>
      <c r="G23" s="78"/>
      <c r="H23" s="78">
        <v>24227.74</v>
      </c>
      <c r="I23" s="78">
        <v>24776.87</v>
      </c>
      <c r="J23" s="79">
        <v>20192.12</v>
      </c>
      <c r="K23" s="79">
        <v>16742.49</v>
      </c>
      <c r="L23" s="79">
        <v>29856.73</v>
      </c>
      <c r="M23" s="79">
        <v>26369.73</v>
      </c>
      <c r="N23" s="79">
        <v>27715.69</v>
      </c>
      <c r="O23" s="79">
        <f>26057.29+41.83</f>
        <v>26099.120000000003</v>
      </c>
      <c r="P23" s="79">
        <f t="shared" si="0"/>
        <v>195980.49</v>
      </c>
      <c r="Q23" s="79">
        <v>135380.93</v>
      </c>
      <c r="R23" s="78">
        <f t="shared" si="1"/>
        <v>60599.56</v>
      </c>
      <c r="S23" s="80"/>
    </row>
    <row r="24" spans="2:19" s="76" customFormat="1" ht="15.75">
      <c r="B24" s="77" t="s">
        <v>161</v>
      </c>
      <c r="C24" s="78"/>
      <c r="D24" s="78"/>
      <c r="E24" s="78"/>
      <c r="F24" s="78"/>
      <c r="G24" s="78"/>
      <c r="H24" s="78">
        <v>379.13</v>
      </c>
      <c r="I24" s="78"/>
      <c r="J24" s="78"/>
      <c r="K24" s="78"/>
      <c r="L24" s="78">
        <v>81.98</v>
      </c>
      <c r="M24" s="78">
        <v>360.92</v>
      </c>
      <c r="N24" s="78">
        <v>486.46</v>
      </c>
      <c r="O24" s="78">
        <v>804.07</v>
      </c>
      <c r="P24" s="79">
        <f t="shared" si="0"/>
        <v>2112.56</v>
      </c>
      <c r="Q24" s="78"/>
      <c r="R24" s="78">
        <f t="shared" si="1"/>
        <v>2112.56</v>
      </c>
      <c r="S24" s="80"/>
    </row>
    <row r="25" spans="2:19" s="76" customFormat="1" ht="15.75">
      <c r="B25" s="194" t="s">
        <v>164</v>
      </c>
      <c r="C25" s="78"/>
      <c r="D25" s="78"/>
      <c r="E25" s="78"/>
      <c r="F25" s="78"/>
      <c r="G25" s="78"/>
      <c r="H25" s="78">
        <v>380.21</v>
      </c>
      <c r="I25" s="78"/>
      <c r="J25" s="78"/>
      <c r="K25" s="78"/>
      <c r="L25" s="78">
        <v>82.22</v>
      </c>
      <c r="M25" s="78"/>
      <c r="N25" s="78"/>
      <c r="O25" s="78"/>
      <c r="P25" s="79">
        <f t="shared" si="0"/>
        <v>462.42999999999995</v>
      </c>
      <c r="Q25" s="78"/>
      <c r="R25" s="78">
        <f t="shared" si="1"/>
        <v>462.42999999999995</v>
      </c>
      <c r="S25" s="80"/>
    </row>
    <row r="26" spans="2:19" s="81" customFormat="1" ht="15.75">
      <c r="B26" s="82" t="s">
        <v>114</v>
      </c>
      <c r="C26" s="86">
        <f aca="true" t="shared" si="4" ref="C26:R26">C19+C20+C21+C22+C23+C24+C25</f>
        <v>0</v>
      </c>
      <c r="D26" s="86">
        <f t="shared" si="4"/>
        <v>0</v>
      </c>
      <c r="E26" s="86">
        <f t="shared" si="4"/>
        <v>0</v>
      </c>
      <c r="F26" s="86">
        <f t="shared" si="4"/>
        <v>0</v>
      </c>
      <c r="G26" s="86">
        <f t="shared" si="4"/>
        <v>0</v>
      </c>
      <c r="H26" s="86">
        <f t="shared" si="4"/>
        <v>117805.74000000002</v>
      </c>
      <c r="I26" s="86">
        <f t="shared" si="4"/>
        <v>87383.61</v>
      </c>
      <c r="J26" s="86">
        <f t="shared" si="4"/>
        <v>68621.39</v>
      </c>
      <c r="K26" s="86">
        <f t="shared" si="4"/>
        <v>71175.72</v>
      </c>
      <c r="L26" s="86">
        <f t="shared" si="4"/>
        <v>99934.67</v>
      </c>
      <c r="M26" s="86">
        <f t="shared" si="4"/>
        <v>139993.73</v>
      </c>
      <c r="N26" s="86">
        <f t="shared" si="4"/>
        <v>181024.55000000002</v>
      </c>
      <c r="O26" s="86">
        <f t="shared" si="4"/>
        <v>236488.81</v>
      </c>
      <c r="P26" s="86">
        <f t="shared" si="4"/>
        <v>1002428.2200000001</v>
      </c>
      <c r="Q26" s="86">
        <f t="shared" si="4"/>
        <v>651310.0800000001</v>
      </c>
      <c r="R26" s="86">
        <f t="shared" si="4"/>
        <v>351118.14</v>
      </c>
      <c r="S26" s="84"/>
    </row>
    <row r="27" spans="2:21" s="81" customFormat="1" ht="15.75">
      <c r="B27" s="82" t="s">
        <v>115</v>
      </c>
      <c r="C27" s="83">
        <f aca="true" t="shared" si="5" ref="C27:O27">C26+C16</f>
        <v>0</v>
      </c>
      <c r="D27" s="83">
        <f t="shared" si="5"/>
        <v>0</v>
      </c>
      <c r="E27" s="83">
        <f t="shared" si="5"/>
        <v>0</v>
      </c>
      <c r="F27" s="83">
        <f t="shared" si="5"/>
        <v>0</v>
      </c>
      <c r="G27" s="83">
        <f t="shared" si="5"/>
        <v>0</v>
      </c>
      <c r="H27" s="83">
        <f t="shared" si="5"/>
        <v>250281.91</v>
      </c>
      <c r="I27" s="83">
        <f t="shared" si="5"/>
        <v>225611.21000000002</v>
      </c>
      <c r="J27" s="83">
        <f t="shared" si="5"/>
        <v>206690.94</v>
      </c>
      <c r="K27" s="83">
        <f t="shared" si="5"/>
        <v>210738.45</v>
      </c>
      <c r="L27" s="83">
        <f t="shared" si="5"/>
        <v>239497.40000000002</v>
      </c>
      <c r="M27" s="83">
        <f t="shared" si="5"/>
        <v>245978.92</v>
      </c>
      <c r="N27" s="83">
        <f t="shared" si="5"/>
        <v>318321</v>
      </c>
      <c r="O27" s="83">
        <f t="shared" si="5"/>
        <v>362353.51</v>
      </c>
      <c r="P27" s="86">
        <f t="shared" si="0"/>
        <v>2059473.34</v>
      </c>
      <c r="Q27" s="83">
        <f>Q26+Q16</f>
        <v>1518374.87</v>
      </c>
      <c r="R27" s="83">
        <f t="shared" si="1"/>
        <v>541098.47</v>
      </c>
      <c r="S27" s="84"/>
      <c r="U27" s="203"/>
    </row>
    <row r="28" spans="2:19" s="81" customFormat="1" ht="1.5" customHeight="1">
      <c r="B28" s="85" t="s">
        <v>101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 t="e">
        <f>#REF!+#REF!</f>
        <v>#REF!</v>
      </c>
      <c r="R28" s="83"/>
      <c r="S28" s="84"/>
    </row>
    <row r="29" spans="2:19" s="81" customFormat="1" ht="15.75" hidden="1">
      <c r="B29" s="85" t="s">
        <v>102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 t="e">
        <f>#REF!</f>
        <v>#REF!</v>
      </c>
      <c r="R29" s="83"/>
      <c r="S29" s="84"/>
    </row>
    <row r="30" spans="2:19" s="81" customFormat="1" ht="15.75" hidden="1">
      <c r="B30" s="88" t="s">
        <v>103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 t="e">
        <f>#REF!+#REF!</f>
        <v>#REF!</v>
      </c>
      <c r="R30" s="96"/>
      <c r="S30" s="84"/>
    </row>
    <row r="31" spans="2:19" s="81" customFormat="1" ht="15.75">
      <c r="B31" s="97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84"/>
    </row>
    <row r="32" spans="1:19" s="101" customFormat="1" ht="17.25" customHeight="1">
      <c r="A32" s="99"/>
      <c r="B32" s="207" t="s">
        <v>188</v>
      </c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9"/>
      <c r="S32" s="100"/>
    </row>
    <row r="33" spans="1:19" s="101" customFormat="1" ht="17.25" customHeight="1">
      <c r="A33" s="102"/>
      <c r="B33" s="210" t="s">
        <v>94</v>
      </c>
      <c r="C33" s="210"/>
      <c r="D33" s="103"/>
      <c r="E33" s="103"/>
      <c r="F33" s="103"/>
      <c r="G33" s="103"/>
      <c r="H33" s="103"/>
      <c r="I33" s="103"/>
      <c r="J33" s="104"/>
      <c r="K33" s="104"/>
      <c r="L33" s="104"/>
      <c r="M33" s="104"/>
      <c r="N33" s="104"/>
      <c r="O33" s="104"/>
      <c r="P33" s="104"/>
      <c r="Q33" s="100"/>
      <c r="R33" s="105"/>
      <c r="S33" s="100"/>
    </row>
    <row r="34" spans="1:19" s="109" customFormat="1" ht="90">
      <c r="A34" s="106" t="s">
        <v>116</v>
      </c>
      <c r="B34" s="107" t="s">
        <v>117</v>
      </c>
      <c r="C34" s="66" t="s">
        <v>172</v>
      </c>
      <c r="D34" s="67" t="s">
        <v>79</v>
      </c>
      <c r="E34" s="67" t="s">
        <v>80</v>
      </c>
      <c r="F34" s="67" t="s">
        <v>81</v>
      </c>
      <c r="G34" s="67" t="s">
        <v>82</v>
      </c>
      <c r="H34" s="67" t="s">
        <v>83</v>
      </c>
      <c r="I34" s="67" t="s">
        <v>84</v>
      </c>
      <c r="J34" s="67" t="s">
        <v>85</v>
      </c>
      <c r="K34" s="67" t="s">
        <v>86</v>
      </c>
      <c r="L34" s="67" t="s">
        <v>87</v>
      </c>
      <c r="M34" s="67" t="s">
        <v>88</v>
      </c>
      <c r="N34" s="67" t="s">
        <v>89</v>
      </c>
      <c r="O34" s="67" t="s">
        <v>90</v>
      </c>
      <c r="P34" s="67" t="s">
        <v>91</v>
      </c>
      <c r="Q34" s="66" t="s">
        <v>92</v>
      </c>
      <c r="R34" s="66" t="s">
        <v>93</v>
      </c>
      <c r="S34" s="108"/>
    </row>
    <row r="35" spans="1:21" s="114" customFormat="1" ht="14.25">
      <c r="A35" s="110">
        <v>1</v>
      </c>
      <c r="B35" s="151" t="s">
        <v>138</v>
      </c>
      <c r="C35" s="112">
        <f>C36+C40+C41+C42+C43+C44+C45+C46+C51</f>
        <v>0</v>
      </c>
      <c r="D35" s="112">
        <f>D36+D40+D41+D42+D43+D44+D45+D46+D47+D48+D49+D50+D51</f>
        <v>0</v>
      </c>
      <c r="E35" s="112">
        <f aca="true" t="shared" si="6" ref="E35:Q35">E36+E40+E41+E42+E43+E44+E45+E46+E47+E48+E49+E50+E51</f>
        <v>0</v>
      </c>
      <c r="F35" s="112">
        <f t="shared" si="6"/>
        <v>0</v>
      </c>
      <c r="G35" s="112">
        <f t="shared" si="6"/>
        <v>0</v>
      </c>
      <c r="H35" s="112">
        <f t="shared" si="6"/>
        <v>67423.45</v>
      </c>
      <c r="I35" s="112">
        <f t="shared" si="6"/>
        <v>66790.84</v>
      </c>
      <c r="J35" s="112">
        <f t="shared" si="6"/>
        <v>62992.27999999999</v>
      </c>
      <c r="K35" s="112">
        <f t="shared" si="6"/>
        <v>65232.72999999999</v>
      </c>
      <c r="L35" s="112">
        <f t="shared" si="6"/>
        <v>63194.179999999986</v>
      </c>
      <c r="M35" s="112">
        <f t="shared" si="6"/>
        <v>62909.40999999999</v>
      </c>
      <c r="N35" s="112">
        <f t="shared" si="6"/>
        <v>63352.12999999999</v>
      </c>
      <c r="O35" s="112">
        <f t="shared" si="6"/>
        <v>59066.20999999999</v>
      </c>
      <c r="P35" s="112">
        <f>SUM(D35:O35)</f>
        <v>510961.23</v>
      </c>
      <c r="Q35" s="112">
        <f t="shared" si="6"/>
        <v>421848.1</v>
      </c>
      <c r="R35" s="112">
        <f>R36+R37+R38+R39+R40+R41+R42+R43+R44+R45+R46+R47+R48+R49+R50+R51</f>
        <v>103122.64999999997</v>
      </c>
      <c r="S35" s="113"/>
      <c r="U35" s="113"/>
    </row>
    <row r="36" spans="1:21" ht="31.5" customHeight="1">
      <c r="A36" s="122"/>
      <c r="B36" s="150" t="s">
        <v>132</v>
      </c>
      <c r="C36" s="164"/>
      <c r="D36" s="164">
        <f>D37+D38+D39</f>
        <v>0</v>
      </c>
      <c r="E36" s="164">
        <f aca="true" t="shared" si="7" ref="E36:Q36">E37+E38+E39</f>
        <v>0</v>
      </c>
      <c r="F36" s="164">
        <f t="shared" si="7"/>
        <v>0</v>
      </c>
      <c r="G36" s="164">
        <f t="shared" si="7"/>
        <v>0</v>
      </c>
      <c r="H36" s="164">
        <f t="shared" si="7"/>
        <v>17967.6</v>
      </c>
      <c r="I36" s="164">
        <f t="shared" si="7"/>
        <v>17967.6</v>
      </c>
      <c r="J36" s="164">
        <f t="shared" si="7"/>
        <v>17967.6</v>
      </c>
      <c r="K36" s="164">
        <f t="shared" si="7"/>
        <v>17967.6</v>
      </c>
      <c r="L36" s="164">
        <f t="shared" si="7"/>
        <v>17967.6</v>
      </c>
      <c r="M36" s="164">
        <f t="shared" si="7"/>
        <v>17967.6</v>
      </c>
      <c r="N36" s="164">
        <f t="shared" si="7"/>
        <v>19087.32</v>
      </c>
      <c r="O36" s="164">
        <f t="shared" si="7"/>
        <v>14009.52</v>
      </c>
      <c r="P36" s="164">
        <f t="shared" si="7"/>
        <v>140902.44</v>
      </c>
      <c r="Q36" s="164">
        <f t="shared" si="7"/>
        <v>126892.92000000001</v>
      </c>
      <c r="R36" s="153">
        <f>C36+P36-Q36</f>
        <v>14009.51999999999</v>
      </c>
      <c r="T36" s="114"/>
      <c r="U36" s="126"/>
    </row>
    <row r="37" spans="1:20" s="121" customFormat="1" ht="15">
      <c r="A37" s="115"/>
      <c r="B37" s="149" t="s">
        <v>126</v>
      </c>
      <c r="C37" s="165"/>
      <c r="D37" s="165">
        <f>январь!E11</f>
        <v>0</v>
      </c>
      <c r="E37" s="165">
        <f>февраль!E11</f>
        <v>0</v>
      </c>
      <c r="F37" s="165">
        <f>март!E11</f>
        <v>0</v>
      </c>
      <c r="G37" s="165">
        <f>апрель!E11</f>
        <v>0</v>
      </c>
      <c r="H37" s="116">
        <f>май!E11</f>
        <v>12889.8</v>
      </c>
      <c r="I37" s="116">
        <f>июнь!E11</f>
        <v>12889.8</v>
      </c>
      <c r="J37" s="116">
        <f>июль!E11</f>
        <v>12889.8</v>
      </c>
      <c r="K37" s="117">
        <f>август!E11</f>
        <v>12889.8</v>
      </c>
      <c r="L37" s="117">
        <f>сентябрь!E11</f>
        <v>12889.8</v>
      </c>
      <c r="M37" s="117">
        <f>октябрь!E11</f>
        <v>12889.8</v>
      </c>
      <c r="N37" s="117">
        <f>ноябрь!E11</f>
        <v>14009.52</v>
      </c>
      <c r="O37" s="117">
        <f>декабрь!E11</f>
        <v>14009.52</v>
      </c>
      <c r="P37" s="118">
        <f aca="true" t="shared" si="8" ref="P37:P92">SUM(D37:O37)</f>
        <v>105357.84000000001</v>
      </c>
      <c r="Q37" s="119">
        <f>P37-O37</f>
        <v>91348.32</v>
      </c>
      <c r="R37" s="153">
        <f aca="true" t="shared" si="9" ref="R37:R95">C37+P37-Q37</f>
        <v>14009.520000000004</v>
      </c>
      <c r="S37" s="120"/>
      <c r="T37" s="114"/>
    </row>
    <row r="38" spans="1:20" s="121" customFormat="1" ht="15">
      <c r="A38" s="115"/>
      <c r="B38" s="149" t="s">
        <v>127</v>
      </c>
      <c r="C38" s="165"/>
      <c r="D38" s="165">
        <f>январь!E12</f>
        <v>0</v>
      </c>
      <c r="E38" s="165">
        <f>февраль!E12</f>
        <v>0</v>
      </c>
      <c r="F38" s="165">
        <f>март!E12</f>
        <v>0</v>
      </c>
      <c r="G38" s="165">
        <f>апрель!E12</f>
        <v>0</v>
      </c>
      <c r="H38" s="116">
        <f>май!E12</f>
        <v>5077.8</v>
      </c>
      <c r="I38" s="116">
        <f>июнь!E12</f>
        <v>5077.8</v>
      </c>
      <c r="J38" s="116">
        <f>июль!E12</f>
        <v>5077.8</v>
      </c>
      <c r="K38" s="117">
        <f>август!E12</f>
        <v>5077.8</v>
      </c>
      <c r="L38" s="117">
        <f>сентябрь!E12</f>
        <v>5077.8</v>
      </c>
      <c r="M38" s="117">
        <f>октябрь!E12</f>
        <v>5077.8</v>
      </c>
      <c r="N38" s="117">
        <f>ноябрь!E12</f>
        <v>5077.8</v>
      </c>
      <c r="O38" s="117">
        <f>декабрь!E12</f>
        <v>0</v>
      </c>
      <c r="P38" s="118">
        <f t="shared" si="8"/>
        <v>35544.6</v>
      </c>
      <c r="Q38" s="119">
        <f>P38-O38</f>
        <v>35544.6</v>
      </c>
      <c r="R38" s="153">
        <f t="shared" si="9"/>
        <v>0</v>
      </c>
      <c r="S38" s="120"/>
      <c r="T38" s="114"/>
    </row>
    <row r="39" spans="1:20" s="121" customFormat="1" ht="15">
      <c r="A39" s="115"/>
      <c r="B39" s="149" t="s">
        <v>133</v>
      </c>
      <c r="C39" s="165"/>
      <c r="D39" s="165">
        <f>январь!E13</f>
        <v>0</v>
      </c>
      <c r="E39" s="165">
        <f>февраль!E13</f>
        <v>0</v>
      </c>
      <c r="F39" s="165">
        <f>март!E13</f>
        <v>0</v>
      </c>
      <c r="G39" s="165">
        <f>апрель!E13</f>
        <v>0</v>
      </c>
      <c r="H39" s="116">
        <f>май!E13</f>
        <v>0</v>
      </c>
      <c r="I39" s="116">
        <f>июнь!E13</f>
        <v>0</v>
      </c>
      <c r="J39" s="116">
        <f>июль!E13</f>
        <v>0</v>
      </c>
      <c r="K39" s="117">
        <f>август!E13</f>
        <v>0</v>
      </c>
      <c r="L39" s="117">
        <f>сентябрь!E13</f>
        <v>0</v>
      </c>
      <c r="M39" s="117">
        <f>октябрь!E13</f>
        <v>0</v>
      </c>
      <c r="N39" s="117">
        <f>ноябрь!E13</f>
        <v>0</v>
      </c>
      <c r="O39" s="117">
        <f>декабрь!E13</f>
        <v>0</v>
      </c>
      <c r="P39" s="124">
        <f t="shared" si="8"/>
        <v>0</v>
      </c>
      <c r="Q39" s="119"/>
      <c r="R39" s="153">
        <f t="shared" si="9"/>
        <v>0</v>
      </c>
      <c r="S39" s="120"/>
      <c r="T39" s="114"/>
    </row>
    <row r="40" spans="1:20" ht="15">
      <c r="A40" s="122"/>
      <c r="B40" s="154" t="s">
        <v>128</v>
      </c>
      <c r="C40" s="164"/>
      <c r="D40" s="165">
        <f>январь!F12</f>
        <v>0</v>
      </c>
      <c r="E40" s="164">
        <f>февраль!F27-Свод!E50</f>
        <v>0</v>
      </c>
      <c r="F40" s="164">
        <f>март!F27-F41</f>
        <v>0</v>
      </c>
      <c r="G40" s="164">
        <f>апрель!F27-Свод!G50</f>
        <v>0</v>
      </c>
      <c r="H40" s="124">
        <f>май!F27-Свод!H50</f>
        <v>618.75</v>
      </c>
      <c r="I40" s="124">
        <f>июнь!F27-Свод!I50</f>
        <v>1116</v>
      </c>
      <c r="J40" s="125">
        <f>июль!F27-Свод!J50</f>
        <v>613.6</v>
      </c>
      <c r="K40" s="117">
        <f>август!F27-Свод!K50</f>
        <v>276.05</v>
      </c>
      <c r="L40" s="125">
        <f>сентябрь!F27-Свод!L50</f>
        <v>313</v>
      </c>
      <c r="M40" s="125">
        <f>октябрь!F27-Свод!M50</f>
        <v>1101</v>
      </c>
      <c r="N40" s="125">
        <f>ноябрь!F27-Свод!N50</f>
        <v>460</v>
      </c>
      <c r="O40" s="125">
        <f>декабрь!F27-Свод!O50</f>
        <v>258</v>
      </c>
      <c r="P40" s="124">
        <f t="shared" si="8"/>
        <v>4756.4</v>
      </c>
      <c r="Q40" s="125">
        <f>P40</f>
        <v>4756.4</v>
      </c>
      <c r="R40" s="153">
        <f t="shared" si="9"/>
        <v>0</v>
      </c>
      <c r="T40" s="114"/>
    </row>
    <row r="41" spans="1:20" ht="15">
      <c r="A41" s="122"/>
      <c r="B41" s="154" t="s">
        <v>129</v>
      </c>
      <c r="C41" s="164"/>
      <c r="D41" s="165">
        <f>январь!F14</f>
        <v>0</v>
      </c>
      <c r="E41" s="165">
        <f>февраль!F14</f>
        <v>0</v>
      </c>
      <c r="F41" s="164">
        <f>март!F14</f>
        <v>0</v>
      </c>
      <c r="G41" s="164">
        <f>апрель!G14</f>
        <v>0</v>
      </c>
      <c r="H41" s="124">
        <f>май!G14</f>
        <v>0</v>
      </c>
      <c r="I41" s="124">
        <f>июнь!G14</f>
        <v>125</v>
      </c>
      <c r="J41" s="125">
        <f>июль!G14</f>
        <v>120</v>
      </c>
      <c r="K41" s="117">
        <f>август!G14</f>
        <v>98</v>
      </c>
      <c r="L41" s="125">
        <f>сентябрь!G14</f>
        <v>124</v>
      </c>
      <c r="M41" s="125">
        <f>октябрь!G14</f>
        <v>166</v>
      </c>
      <c r="N41" s="125">
        <f>ноябрь!G14</f>
        <v>130</v>
      </c>
      <c r="O41" s="125">
        <f>декабрь!G14</f>
        <v>124</v>
      </c>
      <c r="P41" s="124">
        <f t="shared" si="8"/>
        <v>887</v>
      </c>
      <c r="Q41" s="125">
        <f>P41</f>
        <v>887</v>
      </c>
      <c r="R41" s="153">
        <f t="shared" si="9"/>
        <v>0</v>
      </c>
      <c r="T41" s="114"/>
    </row>
    <row r="42" spans="1:20" ht="15">
      <c r="A42" s="122"/>
      <c r="B42" s="156" t="s">
        <v>21</v>
      </c>
      <c r="C42" s="164"/>
      <c r="D42" s="165">
        <f>январь!E15</f>
        <v>0</v>
      </c>
      <c r="E42" s="165">
        <f>февраль!E15</f>
        <v>0</v>
      </c>
      <c r="F42" s="164">
        <f>март!G15</f>
        <v>0</v>
      </c>
      <c r="G42" s="164">
        <f>апрель!G15</f>
        <v>0</v>
      </c>
      <c r="H42" s="124">
        <f>май!G15</f>
        <v>25378.66</v>
      </c>
      <c r="I42" s="124">
        <f>июнь!G15</f>
        <v>25378.66</v>
      </c>
      <c r="J42" s="125">
        <f>июль!G15</f>
        <v>25378.66</v>
      </c>
      <c r="K42" s="117">
        <f>август!G15</f>
        <v>25378.66</v>
      </c>
      <c r="L42" s="125">
        <f>сентябрь!G15</f>
        <v>25378.66</v>
      </c>
      <c r="M42" s="125">
        <f>октябрь!G15</f>
        <v>25378.66</v>
      </c>
      <c r="N42" s="125">
        <f>ноябрь!G15</f>
        <v>25378.66</v>
      </c>
      <c r="O42" s="125">
        <f>декабрь!G15</f>
        <v>25378.66</v>
      </c>
      <c r="P42" s="124">
        <f t="shared" si="8"/>
        <v>203029.28</v>
      </c>
      <c r="Q42" s="125">
        <f>Q10</f>
        <v>164692.95</v>
      </c>
      <c r="R42" s="153">
        <f t="shared" si="9"/>
        <v>38336.32999999999</v>
      </c>
      <c r="T42" s="114"/>
    </row>
    <row r="43" spans="1:20" ht="15.75">
      <c r="A43" s="122"/>
      <c r="B43" s="77" t="s">
        <v>159</v>
      </c>
      <c r="C43" s="164"/>
      <c r="D43" s="165">
        <f>январь!E16</f>
        <v>0</v>
      </c>
      <c r="E43" s="165">
        <f>февраль!G16</f>
        <v>0</v>
      </c>
      <c r="F43" s="164">
        <f>март!G16</f>
        <v>0</v>
      </c>
      <c r="G43" s="164">
        <f>апрель!G16</f>
        <v>0</v>
      </c>
      <c r="H43" s="124">
        <f>май!G16</f>
        <v>14415.31</v>
      </c>
      <c r="I43" s="124">
        <f>июнь!G16</f>
        <v>14415.31</v>
      </c>
      <c r="J43" s="125">
        <f>июль!G16</f>
        <v>14415.31</v>
      </c>
      <c r="K43" s="117">
        <f>август!G16</f>
        <v>14415.31</v>
      </c>
      <c r="L43" s="125">
        <f>сентябрь!G16</f>
        <v>14415.31</v>
      </c>
      <c r="M43" s="125">
        <f>октябрь!G16</f>
        <v>14415.31</v>
      </c>
      <c r="N43" s="125">
        <f>ноябрь!G16</f>
        <v>14415.31</v>
      </c>
      <c r="O43" s="125">
        <f>декабрь!G16</f>
        <v>14415.31</v>
      </c>
      <c r="P43" s="124">
        <f t="shared" si="8"/>
        <v>115322.48</v>
      </c>
      <c r="Q43" s="125">
        <f>Q9</f>
        <v>83465.13</v>
      </c>
      <c r="R43" s="153">
        <f t="shared" si="9"/>
        <v>31857.34999999999</v>
      </c>
      <c r="T43" s="114"/>
    </row>
    <row r="44" spans="1:20" ht="15">
      <c r="A44" s="122"/>
      <c r="B44" s="154" t="s">
        <v>130</v>
      </c>
      <c r="C44" s="164"/>
      <c r="D44" s="165">
        <f>январь!E17</f>
        <v>0</v>
      </c>
      <c r="E44" s="165">
        <f>февраль!G17</f>
        <v>0</v>
      </c>
      <c r="F44" s="164">
        <f>март!G17</f>
        <v>0</v>
      </c>
      <c r="G44" s="164">
        <f>апрель!G17</f>
        <v>0</v>
      </c>
      <c r="H44" s="124">
        <f>май!G17</f>
        <v>827.84</v>
      </c>
      <c r="I44" s="124">
        <f>июнь!G17</f>
        <v>827.84</v>
      </c>
      <c r="J44" s="125">
        <f>июль!G17</f>
        <v>827.84</v>
      </c>
      <c r="K44" s="117">
        <f>август!G17</f>
        <v>827.84</v>
      </c>
      <c r="L44" s="125">
        <f>сентябрь!G17</f>
        <v>827.84</v>
      </c>
      <c r="M44" s="125">
        <f>октябрь!G17</f>
        <v>827.84</v>
      </c>
      <c r="N44" s="125">
        <f>ноябрь!G17</f>
        <v>827.84</v>
      </c>
      <c r="O44" s="125">
        <f>декабрь!G17</f>
        <v>827.84</v>
      </c>
      <c r="P44" s="124">
        <f t="shared" si="8"/>
        <v>6622.72</v>
      </c>
      <c r="Q44" s="125">
        <f>P44-O44</f>
        <v>5794.88</v>
      </c>
      <c r="R44" s="153">
        <f t="shared" si="9"/>
        <v>827.8400000000001</v>
      </c>
      <c r="T44" s="114"/>
    </row>
    <row r="45" spans="1:20" ht="15">
      <c r="A45" s="122"/>
      <c r="B45" s="154" t="s">
        <v>131</v>
      </c>
      <c r="C45" s="164"/>
      <c r="D45" s="165">
        <f>январь!E18</f>
        <v>0</v>
      </c>
      <c r="E45" s="164">
        <f>февраль!G18</f>
        <v>0</v>
      </c>
      <c r="F45" s="164">
        <f>март!G18</f>
        <v>0</v>
      </c>
      <c r="G45" s="164">
        <f>апрель!G18</f>
        <v>0</v>
      </c>
      <c r="H45" s="124">
        <f>май!G18</f>
        <v>0</v>
      </c>
      <c r="I45" s="124">
        <f>июнь!G18</f>
        <v>1478.43</v>
      </c>
      <c r="J45" s="125">
        <f>июль!G18</f>
        <v>0</v>
      </c>
      <c r="K45" s="117">
        <f>август!G18</f>
        <v>0</v>
      </c>
      <c r="L45" s="125">
        <f>сентябрь!G18</f>
        <v>0</v>
      </c>
      <c r="M45" s="125">
        <f>октябрь!G18</f>
        <v>0</v>
      </c>
      <c r="N45" s="125">
        <f>ноябрь!G18</f>
        <v>0</v>
      </c>
      <c r="O45" s="125">
        <f>декабрь!G18</f>
        <v>999.88</v>
      </c>
      <c r="P45" s="124">
        <f t="shared" si="8"/>
        <v>2478.31</v>
      </c>
      <c r="Q45" s="125">
        <f>P45-O45</f>
        <v>1478.4299999999998</v>
      </c>
      <c r="R45" s="153">
        <f t="shared" si="9"/>
        <v>999.8800000000001</v>
      </c>
      <c r="T45" s="114"/>
    </row>
    <row r="46" spans="1:20" ht="15">
      <c r="A46" s="122"/>
      <c r="B46" s="156" t="s">
        <v>52</v>
      </c>
      <c r="C46" s="164"/>
      <c r="D46" s="165">
        <f>январь!E19</f>
        <v>0</v>
      </c>
      <c r="E46" s="165">
        <f>февраль!G19</f>
        <v>0</v>
      </c>
      <c r="F46" s="164">
        <f>март!G19</f>
        <v>0</v>
      </c>
      <c r="G46" s="164">
        <f>апрель!G19</f>
        <v>0</v>
      </c>
      <c r="H46" s="124">
        <f>май!G19</f>
        <v>3053</v>
      </c>
      <c r="I46" s="124">
        <f>июнь!G19</f>
        <v>3182</v>
      </c>
      <c r="J46" s="125">
        <f>июль!G19</f>
        <v>3182</v>
      </c>
      <c r="K46" s="117">
        <f>август!G19</f>
        <v>3182</v>
      </c>
      <c r="L46" s="125">
        <f>сентябрь!G19</f>
        <v>3053</v>
      </c>
      <c r="M46" s="125">
        <f>октябрь!G19</f>
        <v>3053</v>
      </c>
      <c r="N46" s="125">
        <f>ноябрь!G19</f>
        <v>3053</v>
      </c>
      <c r="O46" s="125">
        <f>декабрь!G19</f>
        <v>3053</v>
      </c>
      <c r="P46" s="124">
        <f t="shared" si="8"/>
        <v>24811</v>
      </c>
      <c r="Q46" s="125">
        <f>Q11</f>
        <v>21728.79</v>
      </c>
      <c r="R46" s="153">
        <f t="shared" si="9"/>
        <v>3082.209999999999</v>
      </c>
      <c r="T46" s="114"/>
    </row>
    <row r="47" spans="1:20" ht="15">
      <c r="A47" s="122"/>
      <c r="B47" s="156" t="s">
        <v>196</v>
      </c>
      <c r="C47" s="164"/>
      <c r="D47" s="165">
        <f>январь!E20</f>
        <v>0</v>
      </c>
      <c r="E47" s="165">
        <f>февраль!G20</f>
        <v>0</v>
      </c>
      <c r="F47" s="164">
        <f>март!G20</f>
        <v>0</v>
      </c>
      <c r="G47" s="164">
        <f>апрель!G20</f>
        <v>0</v>
      </c>
      <c r="H47" s="124">
        <f>май!G20</f>
        <v>2853.55</v>
      </c>
      <c r="I47" s="124">
        <f>июнь!G20</f>
        <v>0</v>
      </c>
      <c r="J47" s="125">
        <f>июль!G20</f>
        <v>487.27</v>
      </c>
      <c r="K47" s="117">
        <f>август!G20</f>
        <v>487.27</v>
      </c>
      <c r="L47" s="125">
        <f>сентябрь!G20</f>
        <v>1114.77</v>
      </c>
      <c r="M47" s="125">
        <f>октябрь!G20</f>
        <v>0</v>
      </c>
      <c r="N47" s="125">
        <f>ноябрь!G20</f>
        <v>0</v>
      </c>
      <c r="O47" s="125">
        <f>декабрь!G20</f>
        <v>0</v>
      </c>
      <c r="P47" s="124">
        <f t="shared" si="8"/>
        <v>4942.860000000001</v>
      </c>
      <c r="Q47" s="125">
        <f>P47</f>
        <v>4942.860000000001</v>
      </c>
      <c r="R47" s="153">
        <f t="shared" si="9"/>
        <v>0</v>
      </c>
      <c r="T47" s="114"/>
    </row>
    <row r="48" spans="1:20" ht="15.75">
      <c r="A48" s="122"/>
      <c r="B48" s="77" t="s">
        <v>197</v>
      </c>
      <c r="C48" s="164"/>
      <c r="D48" s="165">
        <f>январь!E21</f>
        <v>0</v>
      </c>
      <c r="E48" s="165">
        <f>февраль!G21</f>
        <v>0</v>
      </c>
      <c r="F48" s="164">
        <f>март!G21</f>
        <v>0</v>
      </c>
      <c r="G48" s="164">
        <f>апрель!G21</f>
        <v>0</v>
      </c>
      <c r="H48" s="124">
        <f>май!G21</f>
        <v>0</v>
      </c>
      <c r="I48" s="124">
        <f>июнь!G21</f>
        <v>0</v>
      </c>
      <c r="J48" s="125">
        <f>июль!G21</f>
        <v>0</v>
      </c>
      <c r="K48" s="117">
        <f>август!G21</f>
        <v>0</v>
      </c>
      <c r="L48" s="125">
        <f>сентябрь!G21</f>
        <v>0</v>
      </c>
      <c r="M48" s="125">
        <f>октябрь!G21</f>
        <v>0</v>
      </c>
      <c r="N48" s="125">
        <f>ноябрь!G21</f>
        <v>0</v>
      </c>
      <c r="O48" s="125">
        <f>декабрь!G21</f>
        <v>0</v>
      </c>
      <c r="P48" s="124">
        <f t="shared" si="8"/>
        <v>0</v>
      </c>
      <c r="Q48" s="125"/>
      <c r="R48" s="153">
        <f t="shared" si="9"/>
        <v>0</v>
      </c>
      <c r="T48" s="114"/>
    </row>
    <row r="49" spans="1:20" ht="15">
      <c r="A49" s="122"/>
      <c r="B49" s="156" t="s">
        <v>198</v>
      </c>
      <c r="C49" s="164"/>
      <c r="D49" s="165">
        <f>январь!E22</f>
        <v>0</v>
      </c>
      <c r="E49" s="165">
        <f>февраль!G22</f>
        <v>0</v>
      </c>
      <c r="F49" s="164">
        <f>март!G22</f>
        <v>0</v>
      </c>
      <c r="G49" s="164">
        <f>апрель!G22</f>
        <v>0</v>
      </c>
      <c r="H49" s="124">
        <f>май!G22</f>
        <v>2308.74</v>
      </c>
      <c r="I49" s="124">
        <f>июнь!G22</f>
        <v>0</v>
      </c>
      <c r="J49" s="125">
        <f>июль!G22</f>
        <v>0</v>
      </c>
      <c r="K49" s="117">
        <f>август!G22</f>
        <v>0</v>
      </c>
      <c r="L49" s="125">
        <f>сентябрь!G22</f>
        <v>0</v>
      </c>
      <c r="M49" s="125">
        <f>октябрь!G22</f>
        <v>0</v>
      </c>
      <c r="N49" s="125">
        <f>ноябрь!G22</f>
        <v>0</v>
      </c>
      <c r="O49" s="125">
        <f>декабрь!G22</f>
        <v>0</v>
      </c>
      <c r="P49" s="124">
        <f t="shared" si="8"/>
        <v>2308.74</v>
      </c>
      <c r="Q49" s="125">
        <f>P49</f>
        <v>2308.74</v>
      </c>
      <c r="R49" s="153">
        <f t="shared" si="9"/>
        <v>0</v>
      </c>
      <c r="T49" s="114"/>
    </row>
    <row r="50" spans="1:20" ht="15">
      <c r="A50" s="122"/>
      <c r="B50" s="156" t="s">
        <v>199</v>
      </c>
      <c r="C50" s="164"/>
      <c r="D50" s="165">
        <f>январь!E23</f>
        <v>0</v>
      </c>
      <c r="E50" s="165">
        <f>февраль!G23</f>
        <v>0</v>
      </c>
      <c r="F50" s="164">
        <f>март!G23</f>
        <v>0</v>
      </c>
      <c r="G50" s="164">
        <f>апрель!G23</f>
        <v>0</v>
      </c>
      <c r="H50" s="124">
        <f>май!G23</f>
        <v>0</v>
      </c>
      <c r="I50" s="124">
        <f>июнь!G23</f>
        <v>0</v>
      </c>
      <c r="J50" s="125">
        <f>июль!G23</f>
        <v>0</v>
      </c>
      <c r="K50" s="117">
        <f>август!G23</f>
        <v>0</v>
      </c>
      <c r="L50" s="125">
        <f>сентябрь!G23</f>
        <v>0</v>
      </c>
      <c r="M50" s="125">
        <f>октябрь!G23</f>
        <v>0</v>
      </c>
      <c r="N50" s="125">
        <f>ноябрь!G23</f>
        <v>0</v>
      </c>
      <c r="O50" s="125">
        <f>декабрь!G23</f>
        <v>0</v>
      </c>
      <c r="P50" s="124">
        <f t="shared" si="8"/>
        <v>0</v>
      </c>
      <c r="Q50" s="125"/>
      <c r="R50" s="153">
        <f t="shared" si="9"/>
        <v>0</v>
      </c>
      <c r="T50" s="114"/>
    </row>
    <row r="51" spans="1:20" ht="15">
      <c r="A51" s="122"/>
      <c r="B51" s="156" t="s">
        <v>48</v>
      </c>
      <c r="C51" s="164"/>
      <c r="D51" s="164">
        <f>D52+D53</f>
        <v>0</v>
      </c>
      <c r="E51" s="164">
        <f aca="true" t="shared" si="10" ref="E51:Q51">E52+E53</f>
        <v>0</v>
      </c>
      <c r="F51" s="164">
        <f t="shared" si="10"/>
        <v>0</v>
      </c>
      <c r="G51" s="164">
        <f>апрель!G24</f>
        <v>0</v>
      </c>
      <c r="H51" s="164">
        <f t="shared" si="10"/>
        <v>0</v>
      </c>
      <c r="I51" s="164">
        <f t="shared" si="10"/>
        <v>2300</v>
      </c>
      <c r="J51" s="164">
        <f t="shared" si="10"/>
        <v>0</v>
      </c>
      <c r="K51" s="164">
        <f t="shared" si="10"/>
        <v>2600</v>
      </c>
      <c r="L51" s="164">
        <f t="shared" si="10"/>
        <v>0</v>
      </c>
      <c r="M51" s="164">
        <f t="shared" si="10"/>
        <v>0</v>
      </c>
      <c r="N51" s="164">
        <f t="shared" si="10"/>
        <v>0</v>
      </c>
      <c r="O51" s="164">
        <f t="shared" si="10"/>
        <v>0</v>
      </c>
      <c r="P51" s="164">
        <f t="shared" si="10"/>
        <v>4900</v>
      </c>
      <c r="Q51" s="164">
        <f t="shared" si="10"/>
        <v>4900</v>
      </c>
      <c r="R51" s="153">
        <f t="shared" si="9"/>
        <v>0</v>
      </c>
      <c r="T51" s="114"/>
    </row>
    <row r="52" spans="1:20" s="132" customFormat="1" ht="14.25" customHeight="1">
      <c r="A52" s="128"/>
      <c r="B52" s="166" t="s">
        <v>203</v>
      </c>
      <c r="C52" s="165"/>
      <c r="D52" s="165">
        <f>январь!E25</f>
        <v>0</v>
      </c>
      <c r="E52" s="165">
        <f>февраль!G25</f>
        <v>0</v>
      </c>
      <c r="F52" s="164">
        <f>март!G25</f>
        <v>0</v>
      </c>
      <c r="G52" s="164">
        <f>апрель!G25</f>
        <v>0</v>
      </c>
      <c r="H52" s="124">
        <f>май!G25</f>
        <v>0</v>
      </c>
      <c r="I52" s="124">
        <f>июнь!G25</f>
        <v>2300</v>
      </c>
      <c r="J52" s="125">
        <f>июль!G25</f>
        <v>0</v>
      </c>
      <c r="K52" s="117">
        <f>август!E25</f>
        <v>2600</v>
      </c>
      <c r="L52" s="130">
        <f>сентябрь!G25</f>
        <v>0</v>
      </c>
      <c r="M52" s="130">
        <f>октябрь!G25</f>
        <v>0</v>
      </c>
      <c r="N52" s="130">
        <f>ноябрь!G25</f>
        <v>0</v>
      </c>
      <c r="O52" s="130">
        <f>декабрь!G25</f>
        <v>0</v>
      </c>
      <c r="P52" s="118">
        <f t="shared" si="8"/>
        <v>4900</v>
      </c>
      <c r="Q52" s="130">
        <f>P52</f>
        <v>4900</v>
      </c>
      <c r="R52" s="167">
        <f t="shared" si="9"/>
        <v>0</v>
      </c>
      <c r="S52" s="131"/>
      <c r="T52" s="168"/>
    </row>
    <row r="53" spans="1:20" s="132" customFormat="1" ht="15" hidden="1">
      <c r="A53" s="128"/>
      <c r="B53" s="166"/>
      <c r="C53" s="165"/>
      <c r="D53" s="165">
        <f>январь!E26</f>
        <v>0</v>
      </c>
      <c r="E53" s="165">
        <f>февраль!G26</f>
        <v>0</v>
      </c>
      <c r="F53" s="164">
        <f>март!G26</f>
        <v>0</v>
      </c>
      <c r="G53" s="164">
        <f>апрель!G26</f>
        <v>0</v>
      </c>
      <c r="H53" s="124">
        <f>май!G26</f>
        <v>0</v>
      </c>
      <c r="I53" s="124">
        <f>июнь!G26</f>
        <v>0</v>
      </c>
      <c r="J53" s="125">
        <f>июль!G26</f>
        <v>0</v>
      </c>
      <c r="K53" s="117">
        <f>август!E26</f>
        <v>0</v>
      </c>
      <c r="L53" s="130">
        <f>сентябрь!G26</f>
        <v>0</v>
      </c>
      <c r="M53" s="130">
        <f>октябрь!G26</f>
        <v>0</v>
      </c>
      <c r="N53" s="130">
        <f>ноябрь!G26</f>
        <v>0</v>
      </c>
      <c r="O53" s="130">
        <f>декабрь!G26</f>
        <v>0</v>
      </c>
      <c r="P53" s="118">
        <f t="shared" si="8"/>
        <v>0</v>
      </c>
      <c r="Q53" s="130"/>
      <c r="R53" s="167">
        <f t="shared" si="9"/>
        <v>0</v>
      </c>
      <c r="S53" s="131"/>
      <c r="T53" s="168"/>
    </row>
    <row r="54" spans="1:19" s="114" customFormat="1" ht="28.5">
      <c r="A54" s="110">
        <v>2</v>
      </c>
      <c r="B54" s="151" t="s">
        <v>140</v>
      </c>
      <c r="C54" s="112">
        <f>C55+C56+C57+C58+C59</f>
        <v>0</v>
      </c>
      <c r="D54" s="112">
        <f>D55+D56+D57+D58+D59</f>
        <v>0</v>
      </c>
      <c r="E54" s="112">
        <f aca="true" t="shared" si="11" ref="E54:Q54">E55+E56+E57+E58+E59</f>
        <v>0</v>
      </c>
      <c r="F54" s="112">
        <f t="shared" si="11"/>
        <v>0</v>
      </c>
      <c r="G54" s="112">
        <f t="shared" si="11"/>
        <v>0</v>
      </c>
      <c r="H54" s="112">
        <f t="shared" si="11"/>
        <v>41313.829999999994</v>
      </c>
      <c r="I54" s="112">
        <f t="shared" si="11"/>
        <v>29443.519999999997</v>
      </c>
      <c r="J54" s="112">
        <f t="shared" si="11"/>
        <v>37450.87</v>
      </c>
      <c r="K54" s="112">
        <f t="shared" si="11"/>
        <v>26207.37</v>
      </c>
      <c r="L54" s="112">
        <f t="shared" si="11"/>
        <v>25998.07</v>
      </c>
      <c r="M54" s="112">
        <f t="shared" si="11"/>
        <v>28150.519999999997</v>
      </c>
      <c r="N54" s="112">
        <f t="shared" si="11"/>
        <v>35421.06</v>
      </c>
      <c r="O54" s="112">
        <f t="shared" si="11"/>
        <v>33713.56</v>
      </c>
      <c r="P54" s="112">
        <f t="shared" si="8"/>
        <v>257698.8</v>
      </c>
      <c r="Q54" s="112">
        <f t="shared" si="11"/>
        <v>229482.04</v>
      </c>
      <c r="R54" s="159">
        <f t="shared" si="9"/>
        <v>28216.75999999998</v>
      </c>
      <c r="S54" s="113"/>
    </row>
    <row r="55" spans="1:20" ht="30">
      <c r="A55" s="122"/>
      <c r="B55" s="150" t="s">
        <v>132</v>
      </c>
      <c r="C55" s="124"/>
      <c r="D55" s="124">
        <f>январь!E31+январь!E32</f>
        <v>0</v>
      </c>
      <c r="E55" s="124">
        <f>февраль!E31+февраль!E32</f>
        <v>0</v>
      </c>
      <c r="F55" s="124">
        <f>март!E31+март!E32</f>
        <v>0</v>
      </c>
      <c r="G55" s="124">
        <f>апрель!E31+апрель!E32</f>
        <v>0</v>
      </c>
      <c r="H55" s="124">
        <f>май!E31+май!E32</f>
        <v>36610.909999999996</v>
      </c>
      <c r="I55" s="124">
        <f>июнь!E31+июнь!E32</f>
        <v>29036.739999999998</v>
      </c>
      <c r="J55" s="124">
        <f>июль!E31+июль!E32</f>
        <v>28154.870000000003</v>
      </c>
      <c r="K55" s="152">
        <f>август!E31+август!E32</f>
        <v>25508.969999999998</v>
      </c>
      <c r="L55" s="152">
        <f>сентябрь!E31+сентябрь!E32</f>
        <v>24740.07</v>
      </c>
      <c r="M55" s="152">
        <f>октябрь!E31+октябрь!E32</f>
        <v>26568.519999999997</v>
      </c>
      <c r="N55" s="152">
        <f>ноябрь!E31+ноябрь!E32</f>
        <v>27452.16</v>
      </c>
      <c r="O55" s="152">
        <f>декабрь!E31+декабрь!E32</f>
        <v>28216.76</v>
      </c>
      <c r="P55" s="124">
        <f t="shared" si="8"/>
        <v>226289</v>
      </c>
      <c r="Q55" s="125">
        <f>P55-O55</f>
        <v>198072.24</v>
      </c>
      <c r="R55" s="153">
        <f t="shared" si="9"/>
        <v>28216.76000000001</v>
      </c>
      <c r="T55" s="114"/>
    </row>
    <row r="56" spans="1:18" ht="15">
      <c r="A56" s="122"/>
      <c r="B56" s="154" t="s">
        <v>128</v>
      </c>
      <c r="C56" s="157"/>
      <c r="D56" s="183">
        <f>январь!F38-Свод!D66</f>
        <v>0</v>
      </c>
      <c r="E56" s="124">
        <f>февраль!F38-Свод!E66</f>
        <v>0</v>
      </c>
      <c r="F56" s="183">
        <f>март!F38-Свод!F66</f>
        <v>0</v>
      </c>
      <c r="G56" s="183">
        <f>апрель!F38-Свод!G66</f>
        <v>0</v>
      </c>
      <c r="H56" s="124">
        <f>май!F38-Свод!H66</f>
        <v>318</v>
      </c>
      <c r="I56" s="124">
        <f>июнь!F38-Свод!I66</f>
        <v>406.78</v>
      </c>
      <c r="J56" s="125">
        <f>июль!F38-Свод!J66</f>
        <v>9236</v>
      </c>
      <c r="K56" s="125">
        <f>август!F38-август!F33</f>
        <v>635.4</v>
      </c>
      <c r="L56" s="125">
        <f>сентябрь!F38-сентябрь!F33</f>
        <v>1192</v>
      </c>
      <c r="M56" s="125">
        <f>октябрь!F38-Свод!M66</f>
        <v>11</v>
      </c>
      <c r="N56" s="125">
        <f>ноябрь!F38-Свод!N66</f>
        <v>7968.9</v>
      </c>
      <c r="O56" s="125">
        <f>декабрь!F38-Свод!O66</f>
        <v>5432.8</v>
      </c>
      <c r="P56" s="124">
        <f t="shared" si="8"/>
        <v>25200.88</v>
      </c>
      <c r="Q56" s="125">
        <f>P56</f>
        <v>25200.88</v>
      </c>
      <c r="R56" s="153">
        <f t="shared" si="9"/>
        <v>0</v>
      </c>
    </row>
    <row r="57" spans="1:18" ht="15" customHeight="1">
      <c r="A57" s="122"/>
      <c r="B57" s="154" t="s">
        <v>129</v>
      </c>
      <c r="C57" s="157"/>
      <c r="D57" s="164">
        <f>январь!G33</f>
        <v>0</v>
      </c>
      <c r="E57" s="164">
        <f>февраль!G33</f>
        <v>0</v>
      </c>
      <c r="F57" s="164">
        <f>март!G33</f>
        <v>0</v>
      </c>
      <c r="G57" s="183">
        <f>апрель!G33</f>
        <v>0</v>
      </c>
      <c r="H57" s="124">
        <f>май!G29</f>
        <v>0</v>
      </c>
      <c r="I57" s="124">
        <f>июнь!G29</f>
        <v>0</v>
      </c>
      <c r="J57" s="125">
        <f>июль!G33</f>
        <v>60</v>
      </c>
      <c r="K57" s="125">
        <f>август!G33</f>
        <v>63</v>
      </c>
      <c r="L57" s="125">
        <f>сентябрь!G33</f>
        <v>66</v>
      </c>
      <c r="M57" s="125">
        <f>октябрь!G33</f>
        <v>1571</v>
      </c>
      <c r="N57" s="125">
        <f>ноябрь!G33</f>
        <v>0</v>
      </c>
      <c r="O57" s="190">
        <f>декабрь!G33</f>
        <v>64</v>
      </c>
      <c r="P57" s="124">
        <f t="shared" si="8"/>
        <v>1824</v>
      </c>
      <c r="Q57" s="125">
        <f>P57</f>
        <v>1824</v>
      </c>
      <c r="R57" s="153">
        <f t="shared" si="9"/>
        <v>0</v>
      </c>
    </row>
    <row r="58" spans="1:18" ht="15">
      <c r="A58" s="122"/>
      <c r="B58" s="154" t="s">
        <v>136</v>
      </c>
      <c r="C58" s="157"/>
      <c r="D58" s="164">
        <f>январь!G34</f>
        <v>0</v>
      </c>
      <c r="E58" s="164">
        <f>февраль!G34</f>
        <v>0</v>
      </c>
      <c r="F58" s="164">
        <f>март!G34</f>
        <v>0</v>
      </c>
      <c r="G58" s="183">
        <f>апрель!G34</f>
        <v>0</v>
      </c>
      <c r="H58" s="124">
        <f>май!G34</f>
        <v>4384.92</v>
      </c>
      <c r="I58" s="124">
        <f>июнь!G34</f>
        <v>0</v>
      </c>
      <c r="J58" s="125">
        <f>июль!G34</f>
        <v>0</v>
      </c>
      <c r="K58" s="125">
        <f>август!G34</f>
        <v>0</v>
      </c>
      <c r="L58" s="125">
        <f>сентябрь!G34</f>
        <v>0</v>
      </c>
      <c r="M58" s="125">
        <f>октябрь!G34</f>
        <v>0</v>
      </c>
      <c r="N58" s="125">
        <f>ноябрь!G34</f>
        <v>0</v>
      </c>
      <c r="O58" s="190">
        <f>декабрь!G34</f>
        <v>0</v>
      </c>
      <c r="P58" s="124">
        <f t="shared" si="8"/>
        <v>4384.92</v>
      </c>
      <c r="Q58" s="125">
        <f>P58</f>
        <v>4384.92</v>
      </c>
      <c r="R58" s="153">
        <f t="shared" si="9"/>
        <v>0</v>
      </c>
    </row>
    <row r="59" spans="1:18" ht="15">
      <c r="A59" s="122"/>
      <c r="B59" s="156" t="s">
        <v>48</v>
      </c>
      <c r="C59" s="124">
        <f>C60+C61+C62</f>
        <v>0</v>
      </c>
      <c r="D59" s="124">
        <f aca="true" t="shared" si="12" ref="D59:Q59">D60+D61+D62</f>
        <v>0</v>
      </c>
      <c r="E59" s="124">
        <f t="shared" si="12"/>
        <v>0</v>
      </c>
      <c r="F59" s="124">
        <f t="shared" si="12"/>
        <v>0</v>
      </c>
      <c r="G59" s="124">
        <f t="shared" si="12"/>
        <v>0</v>
      </c>
      <c r="H59" s="124">
        <f t="shared" si="12"/>
        <v>0</v>
      </c>
      <c r="I59" s="124">
        <f t="shared" si="12"/>
        <v>0</v>
      </c>
      <c r="J59" s="124">
        <f t="shared" si="12"/>
        <v>0</v>
      </c>
      <c r="K59" s="124">
        <f t="shared" si="12"/>
        <v>0</v>
      </c>
      <c r="L59" s="124">
        <f t="shared" si="12"/>
        <v>0</v>
      </c>
      <c r="M59" s="124">
        <f t="shared" si="12"/>
        <v>0</v>
      </c>
      <c r="N59" s="124">
        <f t="shared" si="12"/>
        <v>0</v>
      </c>
      <c r="O59" s="124">
        <f t="shared" si="12"/>
        <v>0</v>
      </c>
      <c r="P59" s="124">
        <f t="shared" si="12"/>
        <v>0</v>
      </c>
      <c r="Q59" s="124">
        <f t="shared" si="12"/>
        <v>0</v>
      </c>
      <c r="R59" s="153">
        <f t="shared" si="9"/>
        <v>0</v>
      </c>
    </row>
    <row r="60" spans="1:19" s="132" customFormat="1" ht="15" hidden="1">
      <c r="A60" s="128"/>
      <c r="B60" s="200"/>
      <c r="C60" s="118"/>
      <c r="D60" s="184">
        <f>январь!E36</f>
        <v>0</v>
      </c>
      <c r="E60" s="164">
        <f>февраль!G36</f>
        <v>0</v>
      </c>
      <c r="F60" s="164">
        <f>март!G36</f>
        <v>0</v>
      </c>
      <c r="G60" s="183">
        <f>апрель!G36</f>
        <v>0</v>
      </c>
      <c r="H60" s="118">
        <f>май!G36</f>
        <v>0</v>
      </c>
      <c r="I60" s="130">
        <f>июль!F36</f>
        <v>0</v>
      </c>
      <c r="J60" s="130">
        <f>июль!G36</f>
        <v>0</v>
      </c>
      <c r="K60" s="125">
        <f>август!G36</f>
        <v>0</v>
      </c>
      <c r="L60" s="130">
        <f>сентябрь!G35</f>
        <v>0</v>
      </c>
      <c r="M60" s="130">
        <f>октябрь!G36</f>
        <v>0</v>
      </c>
      <c r="N60" s="130">
        <f>ноябрь!G36</f>
        <v>0</v>
      </c>
      <c r="O60" s="189">
        <f>декабрь!G36</f>
        <v>0</v>
      </c>
      <c r="P60" s="118">
        <f t="shared" si="8"/>
        <v>0</v>
      </c>
      <c r="Q60" s="118"/>
      <c r="R60" s="153">
        <f t="shared" si="9"/>
        <v>0</v>
      </c>
      <c r="S60" s="131"/>
    </row>
    <row r="61" spans="1:19" s="132" customFormat="1" ht="15" hidden="1">
      <c r="A61" s="128"/>
      <c r="B61" s="129"/>
      <c r="C61" s="118"/>
      <c r="D61" s="184">
        <f>январь!E37</f>
        <v>0</v>
      </c>
      <c r="E61" s="164">
        <f>февраль!G37</f>
        <v>0</v>
      </c>
      <c r="F61" s="164">
        <f>март!G37</f>
        <v>0</v>
      </c>
      <c r="G61" s="183">
        <f>апрель!G37</f>
        <v>0</v>
      </c>
      <c r="H61" s="118">
        <f>май!G37</f>
        <v>0</v>
      </c>
      <c r="I61" s="118">
        <f>июнь!G37</f>
        <v>0</v>
      </c>
      <c r="J61" s="130">
        <f>июль!G37</f>
        <v>0</v>
      </c>
      <c r="K61" s="125">
        <f>август!G37</f>
        <v>0</v>
      </c>
      <c r="L61" s="130">
        <f>сентябрь!G36</f>
        <v>0</v>
      </c>
      <c r="M61" s="130">
        <f>октябрь!G37</f>
        <v>0</v>
      </c>
      <c r="N61" s="130">
        <f>ноябрь!G33</f>
        <v>0</v>
      </c>
      <c r="O61" s="189">
        <f>декабрь!G37</f>
        <v>0</v>
      </c>
      <c r="P61" s="118">
        <f t="shared" si="8"/>
        <v>0</v>
      </c>
      <c r="Q61" s="118"/>
      <c r="R61" s="153">
        <f t="shared" si="9"/>
        <v>0</v>
      </c>
      <c r="S61" s="131"/>
    </row>
    <row r="62" spans="1:19" s="132" customFormat="1" ht="15" hidden="1">
      <c r="A62" s="128"/>
      <c r="B62" s="129"/>
      <c r="C62" s="128"/>
      <c r="D62" s="128"/>
      <c r="E62" s="128"/>
      <c r="F62" s="184"/>
      <c r="G62" s="184"/>
      <c r="H62" s="118"/>
      <c r="I62" s="118"/>
      <c r="J62" s="130"/>
      <c r="K62" s="130"/>
      <c r="L62" s="130"/>
      <c r="M62" s="130"/>
      <c r="N62" s="130"/>
      <c r="O62" s="189"/>
      <c r="P62" s="118">
        <f t="shared" si="8"/>
        <v>0</v>
      </c>
      <c r="Q62" s="118"/>
      <c r="R62" s="153">
        <f t="shared" si="9"/>
        <v>0</v>
      </c>
      <c r="S62" s="131"/>
    </row>
    <row r="63" spans="1:26" s="114" customFormat="1" ht="15">
      <c r="A63" s="110">
        <v>3</v>
      </c>
      <c r="B63" s="162" t="s">
        <v>139</v>
      </c>
      <c r="C63" s="169">
        <f>C64+C65+C66+C67</f>
        <v>0</v>
      </c>
      <c r="D63" s="169">
        <f aca="true" t="shared" si="13" ref="D63:Q63">D64+D65+D66+D67</f>
        <v>0</v>
      </c>
      <c r="E63" s="169">
        <f t="shared" si="13"/>
        <v>0</v>
      </c>
      <c r="F63" s="169">
        <f t="shared" si="13"/>
        <v>0</v>
      </c>
      <c r="G63" s="169">
        <f t="shared" si="13"/>
        <v>0</v>
      </c>
      <c r="H63" s="169">
        <f t="shared" si="13"/>
        <v>4779.23</v>
      </c>
      <c r="I63" s="169">
        <f t="shared" si="13"/>
        <v>2755.31</v>
      </c>
      <c r="J63" s="169">
        <f t="shared" si="13"/>
        <v>2590.32</v>
      </c>
      <c r="K63" s="169">
        <f t="shared" si="13"/>
        <v>2331.28</v>
      </c>
      <c r="L63" s="169">
        <f t="shared" si="13"/>
        <v>2446.63</v>
      </c>
      <c r="M63" s="169">
        <f t="shared" si="13"/>
        <v>5646.42</v>
      </c>
      <c r="N63" s="169">
        <f t="shared" si="13"/>
        <v>133442.21</v>
      </c>
      <c r="O63" s="169">
        <f t="shared" si="13"/>
        <v>13832.08</v>
      </c>
      <c r="P63" s="186">
        <f t="shared" si="8"/>
        <v>167823.47999999998</v>
      </c>
      <c r="Q63" s="169">
        <f t="shared" si="13"/>
        <v>164961.1</v>
      </c>
      <c r="R63" s="159">
        <f t="shared" si="9"/>
        <v>2862.3799999999756</v>
      </c>
      <c r="S63" s="113"/>
      <c r="X63" s="113"/>
      <c r="Z63" s="113"/>
    </row>
    <row r="64" spans="1:18" ht="15" customHeight="1">
      <c r="A64" s="122"/>
      <c r="B64" s="150" t="s">
        <v>132</v>
      </c>
      <c r="C64" s="124"/>
      <c r="D64" s="124">
        <f>январь!E42</f>
        <v>0</v>
      </c>
      <c r="E64" s="124">
        <f>февраль!E42</f>
        <v>0</v>
      </c>
      <c r="F64" s="124">
        <f>март!E42</f>
        <v>0</v>
      </c>
      <c r="G64" s="124">
        <f>апрель!E42</f>
        <v>0</v>
      </c>
      <c r="H64" s="124">
        <f>май!E42</f>
        <v>4779.23</v>
      </c>
      <c r="I64" s="124">
        <f>июнь!E42</f>
        <v>2755.31</v>
      </c>
      <c r="J64" s="124">
        <f>июль!E42</f>
        <v>2590.32</v>
      </c>
      <c r="K64" s="124">
        <f>август!E42</f>
        <v>2081.28</v>
      </c>
      <c r="L64" s="124">
        <f>сентябрь!E42</f>
        <v>2446.63</v>
      </c>
      <c r="M64" s="124">
        <f>октябрь!E42</f>
        <v>2431.92</v>
      </c>
      <c r="N64" s="124">
        <f>ноябрь!E42</f>
        <v>2152.21</v>
      </c>
      <c r="O64" s="124">
        <f>декабрь!E42</f>
        <v>2862.38</v>
      </c>
      <c r="P64" s="124">
        <f t="shared" si="8"/>
        <v>22099.280000000002</v>
      </c>
      <c r="Q64" s="125">
        <f>P64-O64</f>
        <v>19236.9</v>
      </c>
      <c r="R64" s="153">
        <f t="shared" si="9"/>
        <v>2862.380000000001</v>
      </c>
    </row>
    <row r="65" spans="1:26" ht="15">
      <c r="A65" s="122"/>
      <c r="B65" s="154" t="s">
        <v>128</v>
      </c>
      <c r="C65" s="124"/>
      <c r="D65" s="124">
        <f>январь!F47</f>
        <v>0</v>
      </c>
      <c r="E65" s="124">
        <f>февраль!F47-Свод!F75</f>
        <v>0</v>
      </c>
      <c r="F65" s="124">
        <f>март!F47-Свод!F75</f>
        <v>0</v>
      </c>
      <c r="G65" s="124">
        <f>апрель!F47-Свод!G75</f>
        <v>0</v>
      </c>
      <c r="H65" s="124">
        <f>май!E43</f>
        <v>0</v>
      </c>
      <c r="I65" s="124">
        <f>июнь!E43</f>
        <v>0</v>
      </c>
      <c r="J65" s="124">
        <f>июль!E43</f>
        <v>0</v>
      </c>
      <c r="K65" s="124">
        <f>август!F42</f>
        <v>250</v>
      </c>
      <c r="L65" s="125">
        <f>сентябрь!F42-Свод!L75</f>
        <v>0</v>
      </c>
      <c r="M65" s="125">
        <f>октябрь!F42-Свод!M75</f>
        <v>3214.5</v>
      </c>
      <c r="N65" s="202">
        <f>ноябрь!F42-Свод!N75</f>
        <v>8005</v>
      </c>
      <c r="O65" s="125">
        <f>декабрь!F42-Свод!O75+1920</f>
        <v>3809.7</v>
      </c>
      <c r="P65" s="124">
        <f t="shared" si="8"/>
        <v>15279.2</v>
      </c>
      <c r="Q65" s="125">
        <f>P65</f>
        <v>15279.2</v>
      </c>
      <c r="R65" s="153">
        <f t="shared" si="9"/>
        <v>0</v>
      </c>
      <c r="Z65" s="126"/>
    </row>
    <row r="66" spans="1:21" ht="15">
      <c r="A66" s="122"/>
      <c r="B66" s="154" t="s">
        <v>129</v>
      </c>
      <c r="C66" s="124"/>
      <c r="D66" s="124">
        <f>январь!E44</f>
        <v>0</v>
      </c>
      <c r="E66" s="124">
        <f>февраль!F43</f>
        <v>0</v>
      </c>
      <c r="F66" s="124">
        <f>март!G43</f>
        <v>0</v>
      </c>
      <c r="G66" s="124">
        <f>апрель!G39</f>
        <v>0</v>
      </c>
      <c r="H66" s="124">
        <f>май!E44</f>
        <v>0</v>
      </c>
      <c r="I66" s="124">
        <f>июнь!E44</f>
        <v>0</v>
      </c>
      <c r="J66" s="124">
        <f>июль!E44</f>
        <v>0</v>
      </c>
      <c r="K66" s="124">
        <f>август!E44</f>
        <v>0</v>
      </c>
      <c r="L66" s="125">
        <f>сентябрь!G39</f>
        <v>0</v>
      </c>
      <c r="M66" s="125">
        <f>октябрь!G39</f>
        <v>0</v>
      </c>
      <c r="N66" s="125">
        <f>ноябрь!F43</f>
        <v>65</v>
      </c>
      <c r="O66" s="125">
        <f>декабрь!G43</f>
        <v>0</v>
      </c>
      <c r="P66" s="124">
        <f t="shared" si="8"/>
        <v>65</v>
      </c>
      <c r="Q66" s="125">
        <f>P66</f>
        <v>65</v>
      </c>
      <c r="R66" s="153">
        <f t="shared" si="9"/>
        <v>0</v>
      </c>
      <c r="U66" s="133"/>
    </row>
    <row r="67" spans="1:18" ht="15">
      <c r="A67" s="122"/>
      <c r="B67" s="156" t="s">
        <v>48</v>
      </c>
      <c r="C67" s="124">
        <f>C68+C69</f>
        <v>0</v>
      </c>
      <c r="D67" s="124">
        <f aca="true" t="shared" si="14" ref="D67:N67">D68+D69</f>
        <v>0</v>
      </c>
      <c r="E67" s="124">
        <f t="shared" si="14"/>
        <v>0</v>
      </c>
      <c r="F67" s="124">
        <f t="shared" si="14"/>
        <v>0</v>
      </c>
      <c r="G67" s="124">
        <f t="shared" si="14"/>
        <v>0</v>
      </c>
      <c r="H67" s="124">
        <f t="shared" si="14"/>
        <v>0</v>
      </c>
      <c r="I67" s="124">
        <f>I68+I69</f>
        <v>0</v>
      </c>
      <c r="J67" s="124">
        <f t="shared" si="14"/>
        <v>0</v>
      </c>
      <c r="K67" s="124">
        <f>август!E45</f>
        <v>0</v>
      </c>
      <c r="L67" s="124">
        <f t="shared" si="14"/>
        <v>0</v>
      </c>
      <c r="M67" s="124">
        <f t="shared" si="14"/>
        <v>0</v>
      </c>
      <c r="N67" s="124">
        <f t="shared" si="14"/>
        <v>123220</v>
      </c>
      <c r="O67" s="124">
        <f>O68+O69+O70</f>
        <v>7160</v>
      </c>
      <c r="P67" s="124">
        <f>P68+P69+P70</f>
        <v>130380</v>
      </c>
      <c r="Q67" s="124">
        <f>Q68+Q69+Q70</f>
        <v>130380</v>
      </c>
      <c r="R67" s="124">
        <f>R68+R69+R70</f>
        <v>0</v>
      </c>
    </row>
    <row r="68" spans="1:19" s="133" customFormat="1" ht="15">
      <c r="A68" s="134"/>
      <c r="B68" s="135" t="s">
        <v>205</v>
      </c>
      <c r="C68" s="44"/>
      <c r="D68" s="124">
        <f>январь!E45</f>
        <v>0</v>
      </c>
      <c r="E68" s="124">
        <f>февраль!E44</f>
        <v>0</v>
      </c>
      <c r="F68" s="124">
        <f>март!G45</f>
        <v>0</v>
      </c>
      <c r="G68" s="124">
        <f>апрель!G45</f>
        <v>0</v>
      </c>
      <c r="H68" s="124">
        <f>май!E45</f>
        <v>0</v>
      </c>
      <c r="I68" s="124">
        <f>июнь!E46</f>
        <v>0</v>
      </c>
      <c r="J68" s="124">
        <f>июль!E45</f>
        <v>0</v>
      </c>
      <c r="K68" s="124">
        <f>август!E45</f>
        <v>0</v>
      </c>
      <c r="L68" s="125">
        <f>сентябрь!G45</f>
        <v>0</v>
      </c>
      <c r="M68" s="130">
        <f>октябрь!G45</f>
        <v>0</v>
      </c>
      <c r="N68" s="130">
        <f>ноябрь!G45</f>
        <v>110720</v>
      </c>
      <c r="O68" s="130">
        <f>декабрь!G46</f>
        <v>4160</v>
      </c>
      <c r="P68" s="118">
        <f t="shared" si="8"/>
        <v>114880</v>
      </c>
      <c r="Q68" s="130">
        <f>P68</f>
        <v>114880</v>
      </c>
      <c r="R68" s="153">
        <f t="shared" si="9"/>
        <v>0</v>
      </c>
      <c r="S68" s="126"/>
    </row>
    <row r="69" spans="1:19" s="133" customFormat="1" ht="30">
      <c r="A69" s="134"/>
      <c r="B69" s="200" t="s">
        <v>206</v>
      </c>
      <c r="C69" s="124"/>
      <c r="D69" s="124"/>
      <c r="E69" s="124">
        <f>февраль!E46</f>
        <v>0</v>
      </c>
      <c r="F69" s="118">
        <f>март!G46</f>
        <v>0</v>
      </c>
      <c r="G69" s="124">
        <f>апрель!G46</f>
        <v>0</v>
      </c>
      <c r="H69" s="124">
        <f>май!E46</f>
        <v>0</v>
      </c>
      <c r="I69" s="124">
        <f>июнь!E46</f>
        <v>0</v>
      </c>
      <c r="J69" s="124">
        <f>июль!E46</f>
        <v>0</v>
      </c>
      <c r="K69" s="124">
        <f>август!E46</f>
        <v>0</v>
      </c>
      <c r="L69" s="130">
        <f>сентябрь!G46</f>
        <v>0</v>
      </c>
      <c r="M69" s="130">
        <f>октябрь!G46</f>
        <v>0</v>
      </c>
      <c r="N69" s="130">
        <f>ноябрь!G46</f>
        <v>12500</v>
      </c>
      <c r="O69" s="130"/>
      <c r="P69" s="118">
        <f t="shared" si="8"/>
        <v>12500</v>
      </c>
      <c r="Q69" s="130">
        <f>P69</f>
        <v>12500</v>
      </c>
      <c r="R69" s="167">
        <f t="shared" si="9"/>
        <v>0</v>
      </c>
      <c r="S69" s="126"/>
    </row>
    <row r="70" spans="1:19" s="133" customFormat="1" ht="30">
      <c r="A70" s="134"/>
      <c r="B70" s="201" t="s">
        <v>207</v>
      </c>
      <c r="C70" s="124"/>
      <c r="D70" s="124"/>
      <c r="E70" s="124"/>
      <c r="F70" s="118"/>
      <c r="G70" s="124"/>
      <c r="H70" s="124"/>
      <c r="I70" s="124"/>
      <c r="J70" s="125"/>
      <c r="K70" s="125"/>
      <c r="L70" s="130"/>
      <c r="M70" s="130"/>
      <c r="N70" s="130"/>
      <c r="O70" s="130">
        <f>декабрь!G45</f>
        <v>3000</v>
      </c>
      <c r="P70" s="118">
        <f t="shared" si="8"/>
        <v>3000</v>
      </c>
      <c r="Q70" s="130">
        <f>P70</f>
        <v>3000</v>
      </c>
      <c r="R70" s="167">
        <f t="shared" si="9"/>
        <v>0</v>
      </c>
      <c r="S70" s="126"/>
    </row>
    <row r="71" spans="1:19" s="175" customFormat="1" ht="28.5">
      <c r="A71" s="110">
        <v>4</v>
      </c>
      <c r="B71" s="172" t="s">
        <v>142</v>
      </c>
      <c r="C71" s="173"/>
      <c r="D71" s="169">
        <f>январь!E51</f>
        <v>0</v>
      </c>
      <c r="E71" s="169">
        <f>февраль!E51</f>
        <v>0</v>
      </c>
      <c r="F71" s="169">
        <f>март!E51</f>
        <v>0</v>
      </c>
      <c r="G71" s="169">
        <f>апрель!E51</f>
        <v>0</v>
      </c>
      <c r="H71" s="112">
        <f>май!E51</f>
        <v>13379.7612</v>
      </c>
      <c r="I71" s="112">
        <f>июнь!E51</f>
        <v>13379.7612</v>
      </c>
      <c r="J71" s="139">
        <f>июль!E51</f>
        <v>13379.7612</v>
      </c>
      <c r="K71" s="139">
        <f>август!E51</f>
        <v>13379.7612</v>
      </c>
      <c r="L71" s="139">
        <f>сентябрь!E51</f>
        <v>13379.7612</v>
      </c>
      <c r="M71" s="139">
        <f>октябрь!E51</f>
        <v>13379.7612</v>
      </c>
      <c r="N71" s="139">
        <f>ноябрь!E51</f>
        <v>13379.7612</v>
      </c>
      <c r="O71" s="139">
        <f>декабрь!E51</f>
        <v>13379.7612</v>
      </c>
      <c r="P71" s="112">
        <f t="shared" si="8"/>
        <v>107038.08960000004</v>
      </c>
      <c r="Q71" s="139">
        <f>P71-O71</f>
        <v>93658.32840000003</v>
      </c>
      <c r="R71" s="159">
        <f t="shared" si="9"/>
        <v>13379.761200000008</v>
      </c>
      <c r="S71" s="174"/>
    </row>
    <row r="72" spans="1:19" s="175" customFormat="1" ht="14.25">
      <c r="A72" s="138">
        <v>5</v>
      </c>
      <c r="B72" s="162" t="s">
        <v>143</v>
      </c>
      <c r="C72" s="173"/>
      <c r="D72" s="169">
        <f>январь!E52</f>
        <v>0</v>
      </c>
      <c r="E72" s="169">
        <f>февраль!E52</f>
        <v>0</v>
      </c>
      <c r="F72" s="169">
        <f>март!E52</f>
        <v>0</v>
      </c>
      <c r="G72" s="169">
        <f>апрель!E52</f>
        <v>0</v>
      </c>
      <c r="H72" s="112">
        <f>май!E52</f>
        <v>2353.52</v>
      </c>
      <c r="I72" s="112">
        <f>июнь!E52</f>
        <v>2353.52</v>
      </c>
      <c r="J72" s="139">
        <f>июль!E52</f>
        <v>2353.52</v>
      </c>
      <c r="K72" s="139">
        <f>август!E52</f>
        <v>2353.52</v>
      </c>
      <c r="L72" s="139">
        <f>сентябрь!E52</f>
        <v>2353.52</v>
      </c>
      <c r="M72" s="139">
        <f>октябрь!E52</f>
        <v>2353.52</v>
      </c>
      <c r="N72" s="139">
        <f>ноябрь!E52</f>
        <v>2353.52</v>
      </c>
      <c r="O72" s="139">
        <f>декабрь!E52</f>
        <v>2353.52</v>
      </c>
      <c r="P72" s="112">
        <f t="shared" si="8"/>
        <v>18828.16</v>
      </c>
      <c r="Q72" s="139">
        <f>P72-O72</f>
        <v>16474.64</v>
      </c>
      <c r="R72" s="159">
        <f t="shared" si="9"/>
        <v>2353.5200000000004</v>
      </c>
      <c r="S72" s="174"/>
    </row>
    <row r="73" spans="1:19" s="175" customFormat="1" ht="14.25">
      <c r="A73" s="138">
        <v>6</v>
      </c>
      <c r="B73" s="162" t="s">
        <v>144</v>
      </c>
      <c r="C73" s="173"/>
      <c r="D73" s="169">
        <f>январь!E53</f>
        <v>0</v>
      </c>
      <c r="E73" s="169">
        <f>февраль!E53</f>
        <v>0</v>
      </c>
      <c r="F73" s="169">
        <f>март!E53</f>
        <v>0</v>
      </c>
      <c r="G73" s="169">
        <f>апрель!E53</f>
        <v>0</v>
      </c>
      <c r="H73" s="112">
        <f>май!E53</f>
        <v>1235.598</v>
      </c>
      <c r="I73" s="112">
        <f>июнь!E53</f>
        <v>1235.598</v>
      </c>
      <c r="J73" s="139">
        <f>июль!E53</f>
        <v>1235.598</v>
      </c>
      <c r="K73" s="139">
        <f>август!E53</f>
        <v>1235.598</v>
      </c>
      <c r="L73" s="139">
        <f>сентябрь!E53</f>
        <v>1235.598</v>
      </c>
      <c r="M73" s="139">
        <f>октябрь!E53</f>
        <v>1235.598</v>
      </c>
      <c r="N73" s="139">
        <f>ноябрь!E53</f>
        <v>1235.598</v>
      </c>
      <c r="O73" s="139">
        <f>декабрь!E53</f>
        <v>1235.598</v>
      </c>
      <c r="P73" s="112">
        <f t="shared" si="8"/>
        <v>9884.784</v>
      </c>
      <c r="Q73" s="139">
        <f>P73-O73</f>
        <v>8649.186</v>
      </c>
      <c r="R73" s="159">
        <f t="shared" si="9"/>
        <v>1235.598</v>
      </c>
      <c r="S73" s="174"/>
    </row>
    <row r="74" spans="1:23" s="175" customFormat="1" ht="14.25">
      <c r="A74" s="138">
        <v>7</v>
      </c>
      <c r="B74" s="162" t="s">
        <v>44</v>
      </c>
      <c r="C74" s="173"/>
      <c r="D74" s="169">
        <f>январь!E54</f>
        <v>0</v>
      </c>
      <c r="E74" s="169">
        <f>февраль!E54</f>
        <v>0</v>
      </c>
      <c r="F74" s="169">
        <f>март!E54</f>
        <v>0</v>
      </c>
      <c r="G74" s="169">
        <f>апрель!E54</f>
        <v>0</v>
      </c>
      <c r="H74" s="112">
        <f>май!E54</f>
        <v>0</v>
      </c>
      <c r="I74" s="112">
        <f>июнь!E54</f>
        <v>1689.32</v>
      </c>
      <c r="J74" s="139">
        <f>июль!E54</f>
        <v>1910.78</v>
      </c>
      <c r="K74" s="139">
        <f>август!E54</f>
        <v>1702.09</v>
      </c>
      <c r="L74" s="139">
        <f>сентябрь!E54</f>
        <v>1753.02</v>
      </c>
      <c r="M74" s="139">
        <f>октябрь!E54</f>
        <v>2664.02</v>
      </c>
      <c r="N74" s="139">
        <f>ноябрь!E54</f>
        <v>2465.44</v>
      </c>
      <c r="O74" s="139">
        <f>декабрь!E54</f>
        <v>1899</v>
      </c>
      <c r="P74" s="112">
        <f t="shared" si="8"/>
        <v>14083.67</v>
      </c>
      <c r="Q74" s="112">
        <f>P74</f>
        <v>14083.67</v>
      </c>
      <c r="R74" s="159">
        <f t="shared" si="9"/>
        <v>0</v>
      </c>
      <c r="S74" s="174"/>
      <c r="U74" s="174"/>
      <c r="W74" s="111"/>
    </row>
    <row r="75" spans="1:23" s="175" customFormat="1" ht="14.25">
      <c r="A75" s="138">
        <v>8</v>
      </c>
      <c r="B75" s="162" t="s">
        <v>141</v>
      </c>
      <c r="C75" s="169">
        <f>C76+C77+C78+C79+C80+C81+C82+C83</f>
        <v>0</v>
      </c>
      <c r="D75" s="169">
        <f aca="true" t="shared" si="15" ref="D75:Q75">D76+D77+D78+D79+D80+D81+D82+D83</f>
        <v>0</v>
      </c>
      <c r="E75" s="169">
        <f t="shared" si="15"/>
        <v>0</v>
      </c>
      <c r="F75" s="169">
        <f t="shared" si="15"/>
        <v>0</v>
      </c>
      <c r="G75" s="169">
        <f t="shared" si="15"/>
        <v>0</v>
      </c>
      <c r="H75" s="169">
        <f t="shared" si="15"/>
        <v>0</v>
      </c>
      <c r="I75" s="169">
        <f t="shared" si="15"/>
        <v>4790.46</v>
      </c>
      <c r="J75" s="169">
        <f t="shared" si="15"/>
        <v>3922.3899999999994</v>
      </c>
      <c r="K75" s="169">
        <f t="shared" si="15"/>
        <v>5176.66</v>
      </c>
      <c r="L75" s="169">
        <f t="shared" si="15"/>
        <v>3961.6</v>
      </c>
      <c r="M75" s="169">
        <f t="shared" si="15"/>
        <v>3096.58</v>
      </c>
      <c r="N75" s="169">
        <f t="shared" si="15"/>
        <v>2731.3799999999997</v>
      </c>
      <c r="O75" s="169">
        <f t="shared" si="15"/>
        <v>3923.41</v>
      </c>
      <c r="P75" s="112">
        <f t="shared" si="8"/>
        <v>27602.479999999996</v>
      </c>
      <c r="Q75" s="169">
        <f t="shared" si="15"/>
        <v>27602.48</v>
      </c>
      <c r="R75" s="159">
        <f t="shared" si="9"/>
        <v>0</v>
      </c>
      <c r="S75" s="174"/>
      <c r="U75" s="174"/>
      <c r="W75" s="163"/>
    </row>
    <row r="76" spans="1:23" s="178" customFormat="1" ht="15" hidden="1">
      <c r="A76" s="136"/>
      <c r="B76" s="176" t="s">
        <v>64</v>
      </c>
      <c r="C76" s="118"/>
      <c r="D76" s="165">
        <f>январь!E56</f>
        <v>0</v>
      </c>
      <c r="E76" s="165">
        <f>февраль!E56</f>
        <v>0</v>
      </c>
      <c r="F76" s="165">
        <f>март!E56</f>
        <v>0</v>
      </c>
      <c r="G76" s="165">
        <f>апрель!E56</f>
        <v>0</v>
      </c>
      <c r="H76" s="118">
        <f>май!E56</f>
        <v>0</v>
      </c>
      <c r="I76" s="118">
        <f>июнь!E56</f>
        <v>1509.76</v>
      </c>
      <c r="J76" s="130">
        <f>июль!E56</f>
        <v>1363.39</v>
      </c>
      <c r="K76" s="130">
        <f>август!E56</f>
        <v>718.54</v>
      </c>
      <c r="L76" s="130">
        <f>сентябрь!E56</f>
        <v>619.97</v>
      </c>
      <c r="M76" s="130">
        <f>октябрь!E56</f>
        <v>648.88</v>
      </c>
      <c r="N76" s="130">
        <f>ноябрь!E56</f>
        <v>533.23</v>
      </c>
      <c r="O76" s="130">
        <f>декабрь!E56</f>
        <v>833.63</v>
      </c>
      <c r="P76" s="118">
        <f t="shared" si="8"/>
        <v>6227.400000000001</v>
      </c>
      <c r="Q76" s="118">
        <f>P76</f>
        <v>6227.400000000001</v>
      </c>
      <c r="R76" s="167">
        <f t="shared" si="9"/>
        <v>0</v>
      </c>
      <c r="S76" s="177"/>
      <c r="U76" s="177"/>
      <c r="W76" s="137"/>
    </row>
    <row r="77" spans="1:23" s="178" customFormat="1" ht="15" hidden="1">
      <c r="A77" s="136"/>
      <c r="B77" s="176" t="s">
        <v>145</v>
      </c>
      <c r="C77" s="118"/>
      <c r="D77" s="165">
        <f>январь!E57</f>
        <v>0</v>
      </c>
      <c r="E77" s="165">
        <f>февраль!E57</f>
        <v>0</v>
      </c>
      <c r="F77" s="165">
        <f>март!E57</f>
        <v>0</v>
      </c>
      <c r="G77" s="165">
        <f>апрель!E57</f>
        <v>0</v>
      </c>
      <c r="H77" s="118">
        <f>май!E57</f>
        <v>0</v>
      </c>
      <c r="I77" s="118">
        <f>июнь!E57</f>
        <v>417.98</v>
      </c>
      <c r="J77" s="130">
        <f>июль!E57</f>
        <v>107.95</v>
      </c>
      <c r="K77" s="130">
        <f>август!E57</f>
        <v>308.04</v>
      </c>
      <c r="L77" s="130">
        <f>сентябрь!E57</f>
        <v>351.7</v>
      </c>
      <c r="M77" s="130">
        <f>октябрь!E57</f>
        <v>528.89</v>
      </c>
      <c r="N77" s="130">
        <f>ноябрь!E57</f>
        <v>343.87</v>
      </c>
      <c r="O77" s="130">
        <f>декабрь!E57</f>
        <v>557.49</v>
      </c>
      <c r="P77" s="118">
        <f t="shared" si="8"/>
        <v>2615.92</v>
      </c>
      <c r="Q77" s="118">
        <f aca="true" t="shared" si="16" ref="Q77:Q83">P77</f>
        <v>2615.92</v>
      </c>
      <c r="R77" s="167">
        <f t="shared" si="9"/>
        <v>0</v>
      </c>
      <c r="S77" s="177"/>
      <c r="U77" s="177"/>
      <c r="W77" s="137"/>
    </row>
    <row r="78" spans="1:19" s="178" customFormat="1" ht="30" hidden="1">
      <c r="A78" s="136"/>
      <c r="B78" s="176" t="s">
        <v>66</v>
      </c>
      <c r="C78" s="118"/>
      <c r="D78" s="165">
        <f>январь!E58</f>
        <v>0</v>
      </c>
      <c r="E78" s="165">
        <f>февраль!E58</f>
        <v>0</v>
      </c>
      <c r="F78" s="165">
        <f>март!E58</f>
        <v>0</v>
      </c>
      <c r="G78" s="165">
        <f>апрель!E58</f>
        <v>0</v>
      </c>
      <c r="H78" s="118">
        <f>май!E58</f>
        <v>0</v>
      </c>
      <c r="I78" s="118">
        <f>июнь!E58</f>
        <v>1693.8</v>
      </c>
      <c r="J78" s="130">
        <f>июль!E58</f>
        <v>1276.3999999999999</v>
      </c>
      <c r="K78" s="130">
        <f>август!E58</f>
        <v>2110.13</v>
      </c>
      <c r="L78" s="130">
        <f>сентябрь!E58</f>
        <v>1369.54</v>
      </c>
      <c r="M78" s="130">
        <f>октябрь!E58</f>
        <v>771.39</v>
      </c>
      <c r="N78" s="130">
        <f>ноябрь!E58</f>
        <v>298.5</v>
      </c>
      <c r="O78" s="130">
        <f>декабрь!E58</f>
        <v>1049.54</v>
      </c>
      <c r="P78" s="118">
        <f t="shared" si="8"/>
        <v>8569.3</v>
      </c>
      <c r="Q78" s="118">
        <f t="shared" si="16"/>
        <v>8569.3</v>
      </c>
      <c r="R78" s="167">
        <f t="shared" si="9"/>
        <v>0</v>
      </c>
      <c r="S78" s="177"/>
    </row>
    <row r="79" spans="1:20" s="178" customFormat="1" ht="15" hidden="1">
      <c r="A79" s="136"/>
      <c r="B79" s="176" t="s">
        <v>71</v>
      </c>
      <c r="C79" s="118"/>
      <c r="D79" s="165">
        <f>январь!E59</f>
        <v>0</v>
      </c>
      <c r="E79" s="165">
        <f>февраль!E59</f>
        <v>0</v>
      </c>
      <c r="F79" s="165">
        <f>март!E59</f>
        <v>0</v>
      </c>
      <c r="G79" s="165">
        <f>апрель!E59</f>
        <v>0</v>
      </c>
      <c r="H79" s="118">
        <f>май!E59</f>
        <v>0</v>
      </c>
      <c r="I79" s="118">
        <f>июнь!E59</f>
        <v>777.43</v>
      </c>
      <c r="J79" s="130">
        <f>июль!E59</f>
        <v>777.43</v>
      </c>
      <c r="K79" s="130">
        <f>август!E59</f>
        <v>865.79</v>
      </c>
      <c r="L79" s="130">
        <f>сентябрь!E59</f>
        <v>865.79</v>
      </c>
      <c r="M79" s="130">
        <f>октябрь!E59</f>
        <v>865.79</v>
      </c>
      <c r="N79" s="130">
        <f>ноябрь!E59</f>
        <v>865.79</v>
      </c>
      <c r="O79" s="130">
        <f>декабрь!E59</f>
        <v>865.79</v>
      </c>
      <c r="P79" s="118">
        <f t="shared" si="8"/>
        <v>5883.8099999999995</v>
      </c>
      <c r="Q79" s="118">
        <f t="shared" si="16"/>
        <v>5883.8099999999995</v>
      </c>
      <c r="R79" s="167">
        <f t="shared" si="9"/>
        <v>0</v>
      </c>
      <c r="S79" s="177"/>
      <c r="T79" s="177"/>
    </row>
    <row r="80" spans="1:19" s="178" customFormat="1" ht="15" hidden="1">
      <c r="A80" s="136"/>
      <c r="B80" s="176" t="s">
        <v>76</v>
      </c>
      <c r="C80" s="118"/>
      <c r="D80" s="165">
        <f>январь!E60</f>
        <v>0</v>
      </c>
      <c r="E80" s="165">
        <f>февраль!E60</f>
        <v>0</v>
      </c>
      <c r="F80" s="165">
        <f>март!E60</f>
        <v>0</v>
      </c>
      <c r="G80" s="165">
        <f>апрель!E60</f>
        <v>0</v>
      </c>
      <c r="H80" s="118">
        <f>май!E60</f>
        <v>0</v>
      </c>
      <c r="I80" s="118">
        <f>июнь!E60</f>
        <v>0</v>
      </c>
      <c r="J80" s="130">
        <f>июль!E60</f>
        <v>0</v>
      </c>
      <c r="K80" s="130">
        <f>август!E60</f>
        <v>0</v>
      </c>
      <c r="L80" s="130">
        <f>сентябрь!E60</f>
        <v>0</v>
      </c>
      <c r="M80" s="130">
        <f>октябрь!E60</f>
        <v>0</v>
      </c>
      <c r="N80" s="130">
        <f>ноябрь!E60</f>
        <v>0</v>
      </c>
      <c r="O80" s="130">
        <f>декабрь!E60</f>
        <v>0</v>
      </c>
      <c r="P80" s="118">
        <f t="shared" si="8"/>
        <v>0</v>
      </c>
      <c r="Q80" s="118">
        <f t="shared" si="16"/>
        <v>0</v>
      </c>
      <c r="R80" s="167">
        <f t="shared" si="9"/>
        <v>0</v>
      </c>
      <c r="S80" s="177"/>
    </row>
    <row r="81" spans="1:20" s="178" customFormat="1" ht="15" hidden="1">
      <c r="A81" s="136"/>
      <c r="B81" s="176" t="s">
        <v>74</v>
      </c>
      <c r="C81" s="118"/>
      <c r="D81" s="165">
        <f>январь!E61</f>
        <v>0</v>
      </c>
      <c r="E81" s="165">
        <f>февраль!E61</f>
        <v>0</v>
      </c>
      <c r="F81" s="165">
        <f>март!E61</f>
        <v>0</v>
      </c>
      <c r="G81" s="165">
        <f>апрель!E61</f>
        <v>0</v>
      </c>
      <c r="H81" s="118">
        <f>май!E61</f>
        <v>0</v>
      </c>
      <c r="I81" s="118">
        <f>июнь!E61</f>
        <v>371.5</v>
      </c>
      <c r="J81" s="130">
        <f>июль!E61</f>
        <v>371.5</v>
      </c>
      <c r="K81" s="130">
        <f>август!E61</f>
        <v>1119.73</v>
      </c>
      <c r="L81" s="130">
        <f>сентябрь!E61</f>
        <v>687.81</v>
      </c>
      <c r="M81" s="130">
        <f>октябрь!E61</f>
        <v>252.59</v>
      </c>
      <c r="N81" s="130">
        <f>ноябрь!E61</f>
        <v>659.87</v>
      </c>
      <c r="O81" s="130">
        <f>декабрь!E61</f>
        <v>586.57</v>
      </c>
      <c r="P81" s="118">
        <f t="shared" si="8"/>
        <v>4049.57</v>
      </c>
      <c r="Q81" s="118">
        <f t="shared" si="16"/>
        <v>4049.57</v>
      </c>
      <c r="R81" s="167">
        <f t="shared" si="9"/>
        <v>0</v>
      </c>
      <c r="S81" s="177"/>
      <c r="T81" s="177"/>
    </row>
    <row r="82" spans="1:20" s="178" customFormat="1" ht="12.75" customHeight="1" hidden="1">
      <c r="A82" s="136"/>
      <c r="B82" s="176" t="s">
        <v>77</v>
      </c>
      <c r="C82" s="118"/>
      <c r="D82" s="165">
        <f>январь!E62</f>
        <v>0</v>
      </c>
      <c r="E82" s="165">
        <f>февраль!E62</f>
        <v>0</v>
      </c>
      <c r="F82" s="165">
        <f>март!E62</f>
        <v>0</v>
      </c>
      <c r="G82" s="165">
        <f>апрель!E62</f>
        <v>0</v>
      </c>
      <c r="H82" s="118">
        <f>май!E62</f>
        <v>0</v>
      </c>
      <c r="I82" s="118">
        <f>июнь!E62</f>
        <v>19.99</v>
      </c>
      <c r="J82" s="130">
        <f>июль!E62</f>
        <v>25.72</v>
      </c>
      <c r="K82" s="130">
        <f>август!E62</f>
        <v>54.43</v>
      </c>
      <c r="L82" s="130">
        <f>сентябрь!E62</f>
        <v>66.79</v>
      </c>
      <c r="M82" s="130">
        <f>октябрь!E62</f>
        <v>29.04</v>
      </c>
      <c r="N82" s="130">
        <f>ноябрь!E62</f>
        <v>30.12</v>
      </c>
      <c r="O82" s="130">
        <f>декабрь!E62</f>
        <v>30.39</v>
      </c>
      <c r="P82" s="118">
        <f t="shared" si="8"/>
        <v>256.48</v>
      </c>
      <c r="Q82" s="118">
        <f t="shared" si="16"/>
        <v>256.48</v>
      </c>
      <c r="R82" s="167">
        <f t="shared" si="9"/>
        <v>0</v>
      </c>
      <c r="S82" s="177"/>
      <c r="T82" s="177"/>
    </row>
    <row r="83" spans="1:19" s="178" customFormat="1" ht="15" hidden="1">
      <c r="A83" s="136"/>
      <c r="B83" s="176" t="s">
        <v>78</v>
      </c>
      <c r="C83" s="118"/>
      <c r="D83" s="165">
        <f>январь!E63</f>
        <v>0</v>
      </c>
      <c r="E83" s="165">
        <f>февраль!E63</f>
        <v>0</v>
      </c>
      <c r="F83" s="165">
        <f>март!E63</f>
        <v>0</v>
      </c>
      <c r="G83" s="165">
        <f>апрель!E63</f>
        <v>0</v>
      </c>
      <c r="H83" s="118">
        <f>май!E63</f>
        <v>0</v>
      </c>
      <c r="I83" s="118">
        <f>июнь!E63</f>
        <v>0</v>
      </c>
      <c r="J83" s="130">
        <f>июль!E63</f>
        <v>0</v>
      </c>
      <c r="K83" s="130">
        <f>август!E63</f>
        <v>0</v>
      </c>
      <c r="L83" s="130">
        <f>сентябрь!E63</f>
        <v>0</v>
      </c>
      <c r="M83" s="130">
        <f>октябрь!E63</f>
        <v>0</v>
      </c>
      <c r="N83" s="130">
        <f>ноябрь!E63</f>
        <v>0</v>
      </c>
      <c r="O83" s="130">
        <f>декабрь!E63</f>
        <v>0</v>
      </c>
      <c r="P83" s="118">
        <f t="shared" si="8"/>
        <v>0</v>
      </c>
      <c r="Q83" s="118">
        <f t="shared" si="16"/>
        <v>0</v>
      </c>
      <c r="R83" s="167">
        <f t="shared" si="9"/>
        <v>0</v>
      </c>
      <c r="S83" s="177"/>
    </row>
    <row r="84" spans="1:19" s="188" customFormat="1" ht="15">
      <c r="A84" s="185"/>
      <c r="B84" s="179" t="s">
        <v>209</v>
      </c>
      <c r="C84" s="186"/>
      <c r="D84" s="169">
        <f>январь!E66</f>
        <v>0</v>
      </c>
      <c r="E84" s="196">
        <f>февраль!E66</f>
        <v>0</v>
      </c>
      <c r="F84" s="169">
        <f>март!E66</f>
        <v>0</v>
      </c>
      <c r="G84" s="112">
        <f>апрель!E66</f>
        <v>4448.5</v>
      </c>
      <c r="H84" s="112">
        <f>май!E66</f>
        <v>4448.5</v>
      </c>
      <c r="I84" s="112">
        <f>июнь!E66</f>
        <v>4448.5</v>
      </c>
      <c r="J84" s="112">
        <f>июль!E66</f>
        <v>4448.5</v>
      </c>
      <c r="K84" s="139">
        <f>август!E66</f>
        <v>4448.5</v>
      </c>
      <c r="L84" s="112">
        <f>сентябрь!E66</f>
        <v>4448.5</v>
      </c>
      <c r="M84" s="112">
        <f>октябрь!E66</f>
        <v>4448.5</v>
      </c>
      <c r="N84" s="112">
        <f>ноябрь!E66</f>
        <v>4448.5</v>
      </c>
      <c r="O84" s="112">
        <f>декабрь!E66</f>
        <v>4448.5</v>
      </c>
      <c r="P84" s="112">
        <f t="shared" si="8"/>
        <v>40036.5</v>
      </c>
      <c r="Q84" s="112">
        <f>P84-O84</f>
        <v>35588</v>
      </c>
      <c r="R84" s="159">
        <f t="shared" si="9"/>
        <v>4448.5</v>
      </c>
      <c r="S84" s="187"/>
    </row>
    <row r="85" spans="1:21" s="114" customFormat="1" ht="14.25">
      <c r="A85" s="138"/>
      <c r="B85" s="111" t="s">
        <v>146</v>
      </c>
      <c r="C85" s="112">
        <f aca="true" t="shared" si="17" ref="C85:Q85">C75+C74+C73+C72+C71+C63+C54+C35+C84</f>
        <v>0</v>
      </c>
      <c r="D85" s="112">
        <f t="shared" si="17"/>
        <v>0</v>
      </c>
      <c r="E85" s="112">
        <f t="shared" si="17"/>
        <v>0</v>
      </c>
      <c r="F85" s="112">
        <f t="shared" si="17"/>
        <v>0</v>
      </c>
      <c r="G85" s="112">
        <f t="shared" si="17"/>
        <v>4448.5</v>
      </c>
      <c r="H85" s="112">
        <f t="shared" si="17"/>
        <v>134933.88919999998</v>
      </c>
      <c r="I85" s="112">
        <f t="shared" si="17"/>
        <v>126886.8292</v>
      </c>
      <c r="J85" s="112">
        <f t="shared" si="17"/>
        <v>130284.0192</v>
      </c>
      <c r="K85" s="112">
        <f t="shared" si="17"/>
        <v>122067.5092</v>
      </c>
      <c r="L85" s="112">
        <f t="shared" si="17"/>
        <v>118770.8792</v>
      </c>
      <c r="M85" s="112">
        <f t="shared" si="17"/>
        <v>123884.32919999998</v>
      </c>
      <c r="N85" s="112">
        <f t="shared" si="17"/>
        <v>258829.5992</v>
      </c>
      <c r="O85" s="112">
        <f t="shared" si="17"/>
        <v>133851.63919999998</v>
      </c>
      <c r="P85" s="112">
        <f t="shared" si="8"/>
        <v>1153957.1935999999</v>
      </c>
      <c r="Q85" s="112">
        <f t="shared" si="17"/>
        <v>1012347.5444</v>
      </c>
      <c r="R85" s="159">
        <f t="shared" si="9"/>
        <v>141609.64919999987</v>
      </c>
      <c r="S85" s="113"/>
      <c r="U85" s="113"/>
    </row>
    <row r="86" spans="2:20" s="140" customFormat="1" ht="15">
      <c r="B86" s="140" t="s">
        <v>118</v>
      </c>
      <c r="C86" s="124"/>
      <c r="D86" s="124">
        <f aca="true" t="shared" si="18" ref="D86:P86">D16-D85</f>
        <v>0</v>
      </c>
      <c r="E86" s="124">
        <f t="shared" si="18"/>
        <v>0</v>
      </c>
      <c r="F86" s="124">
        <f t="shared" si="18"/>
        <v>0</v>
      </c>
      <c r="G86" s="124">
        <f t="shared" si="18"/>
        <v>-4448.5</v>
      </c>
      <c r="H86" s="124">
        <f t="shared" si="18"/>
        <v>-2457.7191999999923</v>
      </c>
      <c r="I86" s="124">
        <f t="shared" si="18"/>
        <v>11340.770800000013</v>
      </c>
      <c r="J86" s="124">
        <f t="shared" si="18"/>
        <v>7785.530799999993</v>
      </c>
      <c r="K86" s="124">
        <f t="shared" si="18"/>
        <v>17495.22080000001</v>
      </c>
      <c r="L86" s="124">
        <f t="shared" si="18"/>
        <v>20791.850800000015</v>
      </c>
      <c r="M86" s="124">
        <f t="shared" si="18"/>
        <v>-17899.139199999976</v>
      </c>
      <c r="N86" s="124">
        <f t="shared" si="18"/>
        <v>-121533.14920000001</v>
      </c>
      <c r="O86" s="124">
        <f t="shared" si="18"/>
        <v>-7986.939199999979</v>
      </c>
      <c r="P86" s="124">
        <f t="shared" si="18"/>
        <v>-96912.0736</v>
      </c>
      <c r="Q86" s="124"/>
      <c r="R86" s="153">
        <f>C86+P86</f>
        <v>-96912.0736</v>
      </c>
      <c r="S86" s="141"/>
      <c r="T86" s="141"/>
    </row>
    <row r="87" spans="2:19" s="76" customFormat="1" ht="15.75">
      <c r="B87" s="204" t="s">
        <v>104</v>
      </c>
      <c r="C87" s="205"/>
      <c r="D87" s="89"/>
      <c r="E87" s="89"/>
      <c r="F87" s="89"/>
      <c r="G87" s="89"/>
      <c r="H87" s="89"/>
      <c r="I87" s="89"/>
      <c r="J87" s="90"/>
      <c r="K87" s="90"/>
      <c r="L87" s="90"/>
      <c r="M87" s="90"/>
      <c r="N87" s="90"/>
      <c r="O87" s="90"/>
      <c r="P87" s="124"/>
      <c r="Q87" s="90"/>
      <c r="R87" s="153"/>
      <c r="S87" s="80"/>
    </row>
    <row r="88" spans="1:18" ht="15">
      <c r="A88" s="122"/>
      <c r="B88" s="123" t="s">
        <v>58</v>
      </c>
      <c r="C88" s="124"/>
      <c r="D88" s="124">
        <f>январь!E69</f>
        <v>0</v>
      </c>
      <c r="E88" s="124">
        <f>февраль!E69</f>
        <v>0</v>
      </c>
      <c r="F88" s="124">
        <f>март!E69</f>
        <v>0</v>
      </c>
      <c r="G88" s="124">
        <f>апрель!E69</f>
        <v>0</v>
      </c>
      <c r="H88" s="124">
        <f>май!E69</f>
        <v>41328.39</v>
      </c>
      <c r="I88" s="124">
        <f>июнь!E69</f>
        <v>34333.47</v>
      </c>
      <c r="J88" s="125">
        <f>июль!E69</f>
        <v>35393.15</v>
      </c>
      <c r="K88" s="125">
        <f>август!E69</f>
        <v>39362.31</v>
      </c>
      <c r="L88" s="125">
        <f>сентябрь!E69</f>
        <v>42102.71</v>
      </c>
      <c r="M88" s="125">
        <f>октябрь!E69</f>
        <v>46726.03</v>
      </c>
      <c r="N88" s="125">
        <f>ноябрь!E69</f>
        <v>45046.43</v>
      </c>
      <c r="O88" s="125">
        <f>декабрь!E69</f>
        <v>42306.03</v>
      </c>
      <c r="P88" s="124">
        <f t="shared" si="8"/>
        <v>326598.52</v>
      </c>
      <c r="Q88" s="125">
        <f>Q8+Q21</f>
        <v>279410.29</v>
      </c>
      <c r="R88" s="153">
        <f t="shared" si="9"/>
        <v>47188.23000000004</v>
      </c>
    </row>
    <row r="89" spans="1:22" ht="15">
      <c r="A89" s="122"/>
      <c r="B89" s="123" t="s">
        <v>108</v>
      </c>
      <c r="C89" s="124"/>
      <c r="D89" s="124">
        <f>январь!E70</f>
        <v>0</v>
      </c>
      <c r="E89" s="124">
        <f>февраль!E70</f>
        <v>0</v>
      </c>
      <c r="F89" s="124">
        <f>март!E70</f>
        <v>0</v>
      </c>
      <c r="G89" s="124">
        <f>апрель!E70</f>
        <v>0</v>
      </c>
      <c r="H89" s="124">
        <f>май!E70</f>
        <v>32563.21</v>
      </c>
      <c r="I89" s="124">
        <f>июнь!E70</f>
        <v>0</v>
      </c>
      <c r="J89" s="125">
        <f>июль!E70</f>
        <v>0</v>
      </c>
      <c r="K89" s="125">
        <f>август!E70</f>
        <v>0</v>
      </c>
      <c r="L89" s="125">
        <f>сентябрь!E70</f>
        <v>6883.31</v>
      </c>
      <c r="M89" s="125">
        <f>октябрь!E70</f>
        <v>60501.11</v>
      </c>
      <c r="N89" s="125">
        <f>ноябрь!E70</f>
        <v>81544.97</v>
      </c>
      <c r="O89" s="125">
        <f>декабрь!E70</f>
        <v>134786.37</v>
      </c>
      <c r="P89" s="124">
        <f t="shared" si="8"/>
        <v>316278.97</v>
      </c>
      <c r="Q89" s="125">
        <f>Q22</f>
        <v>172525.76</v>
      </c>
      <c r="R89" s="153">
        <f t="shared" si="9"/>
        <v>143753.20999999996</v>
      </c>
      <c r="U89" s="142"/>
      <c r="V89" s="133"/>
    </row>
    <row r="90" spans="1:18" ht="15">
      <c r="A90" s="122"/>
      <c r="B90" s="123" t="s">
        <v>60</v>
      </c>
      <c r="C90" s="124"/>
      <c r="D90" s="124">
        <f>январь!E71</f>
        <v>0</v>
      </c>
      <c r="E90" s="124">
        <f>февраль!E71</f>
        <v>0</v>
      </c>
      <c r="F90" s="124">
        <f>март!E71</f>
        <v>0</v>
      </c>
      <c r="G90" s="124">
        <f>апрель!E71</f>
        <v>0</v>
      </c>
      <c r="H90" s="124">
        <f>май!E71</f>
        <v>19562.1</v>
      </c>
      <c r="I90" s="124">
        <f>июнь!E71</f>
        <v>22622.36</v>
      </c>
      <c r="J90" s="125">
        <f>июль!E71</f>
        <v>24772.13</v>
      </c>
      <c r="K90" s="125">
        <f>август!E71</f>
        <v>16195.31</v>
      </c>
      <c r="L90" s="125">
        <f>сентябрь!E71</f>
        <v>25952.41</v>
      </c>
      <c r="M90" s="125">
        <f>октябрь!E71</f>
        <v>27698.78</v>
      </c>
      <c r="N90" s="125">
        <f>ноябрь!E71</f>
        <v>31138.89</v>
      </c>
      <c r="O90" s="125">
        <f>декабрь!E71</f>
        <v>24964.87</v>
      </c>
      <c r="P90" s="124">
        <f t="shared" si="8"/>
        <v>192906.84999999998</v>
      </c>
      <c r="Q90" s="125">
        <f>Q7+Q23</f>
        <v>144023.91999999998</v>
      </c>
      <c r="R90" s="153">
        <f t="shared" si="9"/>
        <v>48882.92999999999</v>
      </c>
    </row>
    <row r="91" spans="1:18" ht="15">
      <c r="A91" s="122" t="s">
        <v>97</v>
      </c>
      <c r="B91" s="123" t="s">
        <v>113</v>
      </c>
      <c r="C91" s="124"/>
      <c r="D91" s="124">
        <f>январь!E72</f>
        <v>0</v>
      </c>
      <c r="E91" s="124">
        <f>февраль!E72</f>
        <v>0</v>
      </c>
      <c r="F91" s="124">
        <f>март!E72</f>
        <v>0</v>
      </c>
      <c r="G91" s="124">
        <f>апрель!E72</f>
        <v>0</v>
      </c>
      <c r="H91" s="124">
        <f>май!E72</f>
        <v>10129.38</v>
      </c>
      <c r="I91" s="124">
        <f>июнь!E72</f>
        <v>11558.71</v>
      </c>
      <c r="J91" s="125">
        <f>июль!E72</f>
        <v>11786.05</v>
      </c>
      <c r="K91" s="125">
        <f>август!E72</f>
        <v>13389.85</v>
      </c>
      <c r="L91" s="125">
        <f>сентябрь!E72</f>
        <v>11015.68</v>
      </c>
      <c r="M91" s="125">
        <f>октябрь!E72</f>
        <v>12015.33</v>
      </c>
      <c r="N91" s="125">
        <f>ноябрь!E72</f>
        <v>11547.2</v>
      </c>
      <c r="O91" s="125">
        <f>декабрь!E72</f>
        <v>11215.61</v>
      </c>
      <c r="P91" s="124">
        <f t="shared" si="8"/>
        <v>92657.81</v>
      </c>
      <c r="Q91" s="125">
        <f>Q5+Q19-Q47</f>
        <v>59048.060000000005</v>
      </c>
      <c r="R91" s="153">
        <f t="shared" si="9"/>
        <v>33609.74999999999</v>
      </c>
    </row>
    <row r="92" spans="1:18" ht="15">
      <c r="A92" s="122"/>
      <c r="B92" s="123" t="s">
        <v>62</v>
      </c>
      <c r="C92" s="124"/>
      <c r="D92" s="124">
        <f>январь!E73</f>
        <v>0</v>
      </c>
      <c r="E92" s="124">
        <f>февраль!E73</f>
        <v>0</v>
      </c>
      <c r="F92" s="124">
        <f>март!E73</f>
        <v>0</v>
      </c>
      <c r="G92" s="124">
        <f>апрель!E73</f>
        <v>0</v>
      </c>
      <c r="H92" s="124">
        <f>май!E73</f>
        <v>12992.31</v>
      </c>
      <c r="I92" s="124">
        <f>июнь!E73</f>
        <v>10471.76</v>
      </c>
      <c r="J92" s="125">
        <f>июль!E73</f>
        <v>13161.76</v>
      </c>
      <c r="K92" s="125">
        <f>август!E73</f>
        <v>12899.89</v>
      </c>
      <c r="L92" s="125">
        <f>сентябрь!E73</f>
        <v>13998.23</v>
      </c>
      <c r="M92" s="125">
        <f>октябрь!E73</f>
        <v>14451.86</v>
      </c>
      <c r="N92" s="125">
        <f>ноябрь!E73</f>
        <v>14926.76</v>
      </c>
      <c r="O92" s="125">
        <f>декабрь!E73</f>
        <v>13285.49</v>
      </c>
      <c r="P92" s="124">
        <f t="shared" si="8"/>
        <v>106188.06</v>
      </c>
      <c r="Q92" s="125">
        <f>Q6+Q20</f>
        <v>73482.01999999999</v>
      </c>
      <c r="R92" s="153">
        <f t="shared" si="9"/>
        <v>32706.040000000008</v>
      </c>
    </row>
    <row r="93" spans="1:19" s="114" customFormat="1" ht="14.25">
      <c r="A93" s="138"/>
      <c r="B93" s="111" t="s">
        <v>147</v>
      </c>
      <c r="C93" s="112">
        <f aca="true" t="shared" si="19" ref="C93:Q93">SUM(C88:C92)</f>
        <v>0</v>
      </c>
      <c r="D93" s="112">
        <f t="shared" si="19"/>
        <v>0</v>
      </c>
      <c r="E93" s="112">
        <f t="shared" si="19"/>
        <v>0</v>
      </c>
      <c r="F93" s="112">
        <f t="shared" si="19"/>
        <v>0</v>
      </c>
      <c r="G93" s="112">
        <f t="shared" si="19"/>
        <v>0</v>
      </c>
      <c r="H93" s="112">
        <f t="shared" si="19"/>
        <v>116575.39000000001</v>
      </c>
      <c r="I93" s="112">
        <f t="shared" si="19"/>
        <v>78986.3</v>
      </c>
      <c r="J93" s="112">
        <f t="shared" si="19"/>
        <v>85113.09</v>
      </c>
      <c r="K93" s="112">
        <f t="shared" si="19"/>
        <v>81847.36</v>
      </c>
      <c r="L93" s="112">
        <f t="shared" si="19"/>
        <v>99952.33999999998</v>
      </c>
      <c r="M93" s="112">
        <f t="shared" si="19"/>
        <v>161393.11</v>
      </c>
      <c r="N93" s="112">
        <f t="shared" si="19"/>
        <v>184204.25</v>
      </c>
      <c r="O93" s="112">
        <f t="shared" si="19"/>
        <v>226558.37</v>
      </c>
      <c r="P93" s="112">
        <f t="shared" si="19"/>
        <v>1034630.21</v>
      </c>
      <c r="Q93" s="112">
        <f t="shared" si="19"/>
        <v>728490.05</v>
      </c>
      <c r="R93" s="159">
        <f t="shared" si="9"/>
        <v>306140.1599999999</v>
      </c>
      <c r="S93" s="113"/>
    </row>
    <row r="94" spans="2:20" s="140" customFormat="1" ht="15">
      <c r="B94" s="140" t="s">
        <v>118</v>
      </c>
      <c r="C94" s="141"/>
      <c r="D94" s="141">
        <f aca="true" t="shared" si="20" ref="D94:P94">D26-D93</f>
        <v>0</v>
      </c>
      <c r="E94" s="141">
        <f t="shared" si="20"/>
        <v>0</v>
      </c>
      <c r="F94" s="141">
        <f t="shared" si="20"/>
        <v>0</v>
      </c>
      <c r="G94" s="141">
        <f t="shared" si="20"/>
        <v>0</v>
      </c>
      <c r="H94" s="141">
        <f t="shared" si="20"/>
        <v>1230.3500000000058</v>
      </c>
      <c r="I94" s="141">
        <f t="shared" si="20"/>
        <v>8397.309999999998</v>
      </c>
      <c r="J94" s="141">
        <f t="shared" si="20"/>
        <v>-16491.699999999997</v>
      </c>
      <c r="K94" s="141">
        <f t="shared" si="20"/>
        <v>-10671.64</v>
      </c>
      <c r="L94" s="141">
        <f t="shared" si="20"/>
        <v>-17.669999999983702</v>
      </c>
      <c r="M94" s="141">
        <f t="shared" si="20"/>
        <v>-21399.379999999976</v>
      </c>
      <c r="N94" s="141">
        <f t="shared" si="20"/>
        <v>-3179.6999999999825</v>
      </c>
      <c r="O94" s="141">
        <f t="shared" si="20"/>
        <v>9930.440000000002</v>
      </c>
      <c r="P94" s="141">
        <f t="shared" si="20"/>
        <v>-32201.989999999874</v>
      </c>
      <c r="Q94" s="141"/>
      <c r="R94" s="153">
        <f>C94+P94</f>
        <v>-32201.989999999874</v>
      </c>
      <c r="S94" s="141"/>
      <c r="T94" s="141"/>
    </row>
    <row r="95" spans="1:22" s="114" customFormat="1" ht="14.25">
      <c r="A95" s="138"/>
      <c r="B95" s="111" t="s">
        <v>119</v>
      </c>
      <c r="C95" s="112">
        <f aca="true" t="shared" si="21" ref="C95:Q96">C85+C93</f>
        <v>0</v>
      </c>
      <c r="D95" s="112">
        <f>D85+D93</f>
        <v>0</v>
      </c>
      <c r="E95" s="112">
        <f t="shared" si="21"/>
        <v>0</v>
      </c>
      <c r="F95" s="112">
        <f t="shared" si="21"/>
        <v>0</v>
      </c>
      <c r="G95" s="112">
        <f t="shared" si="21"/>
        <v>4448.5</v>
      </c>
      <c r="H95" s="112">
        <f t="shared" si="21"/>
        <v>251509.2792</v>
      </c>
      <c r="I95" s="112">
        <f t="shared" si="21"/>
        <v>205873.1292</v>
      </c>
      <c r="J95" s="112">
        <f t="shared" si="21"/>
        <v>215397.1092</v>
      </c>
      <c r="K95" s="112">
        <f t="shared" si="21"/>
        <v>203914.86920000002</v>
      </c>
      <c r="L95" s="112">
        <f t="shared" si="21"/>
        <v>218723.2192</v>
      </c>
      <c r="M95" s="112">
        <f t="shared" si="21"/>
        <v>285277.43919999996</v>
      </c>
      <c r="N95" s="112">
        <f t="shared" si="21"/>
        <v>443033.8492</v>
      </c>
      <c r="O95" s="112">
        <f t="shared" si="21"/>
        <v>360410.0092</v>
      </c>
      <c r="P95" s="112">
        <f t="shared" si="21"/>
        <v>2188587.4036</v>
      </c>
      <c r="Q95" s="112">
        <f t="shared" si="21"/>
        <v>1740837.5944</v>
      </c>
      <c r="R95" s="159">
        <f t="shared" si="9"/>
        <v>447749.8091999998</v>
      </c>
      <c r="S95" s="113"/>
      <c r="V95" s="113"/>
    </row>
    <row r="96" spans="2:20" s="140" customFormat="1" ht="30">
      <c r="B96" s="143" t="s">
        <v>120</v>
      </c>
      <c r="C96" s="144">
        <f t="shared" si="21"/>
        <v>0</v>
      </c>
      <c r="D96" s="144">
        <f t="shared" si="21"/>
        <v>0</v>
      </c>
      <c r="E96" s="144">
        <f t="shared" si="21"/>
        <v>0</v>
      </c>
      <c r="F96" s="144">
        <f t="shared" si="21"/>
        <v>0</v>
      </c>
      <c r="G96" s="144">
        <f t="shared" si="21"/>
        <v>-4448.5</v>
      </c>
      <c r="H96" s="144">
        <f t="shared" si="21"/>
        <v>-1227.3691999999864</v>
      </c>
      <c r="I96" s="144">
        <f t="shared" si="21"/>
        <v>19738.08080000001</v>
      </c>
      <c r="J96" s="144">
        <f t="shared" si="21"/>
        <v>-8706.169200000004</v>
      </c>
      <c r="K96" s="144">
        <f t="shared" si="21"/>
        <v>6823.580800000011</v>
      </c>
      <c r="L96" s="144">
        <f t="shared" si="21"/>
        <v>20774.18080000003</v>
      </c>
      <c r="M96" s="144">
        <f t="shared" si="21"/>
        <v>-39298.51919999995</v>
      </c>
      <c r="N96" s="144">
        <f t="shared" si="21"/>
        <v>-124712.8492</v>
      </c>
      <c r="O96" s="144">
        <f t="shared" si="21"/>
        <v>1943.5008000000234</v>
      </c>
      <c r="P96" s="144">
        <f>P94+P86</f>
        <v>-129114.06359999988</v>
      </c>
      <c r="Q96" s="144"/>
      <c r="R96" s="144">
        <f>C96+P96</f>
        <v>-129114.06359999988</v>
      </c>
      <c r="S96" s="141"/>
      <c r="T96" s="141"/>
    </row>
    <row r="97" spans="2:20" s="140" customFormat="1" ht="15">
      <c r="B97" s="145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1"/>
      <c r="T97" s="141"/>
    </row>
    <row r="99" spans="2:3" ht="12.75">
      <c r="B99" s="127" t="s">
        <v>121</v>
      </c>
      <c r="C99" s="127" t="s">
        <v>210</v>
      </c>
    </row>
    <row r="101" spans="2:3" ht="12.75">
      <c r="B101" s="127" t="s">
        <v>123</v>
      </c>
      <c r="C101" s="127" t="s">
        <v>124</v>
      </c>
    </row>
  </sheetData>
  <sheetProtection/>
  <mergeCells count="5">
    <mergeCell ref="B87:C87"/>
    <mergeCell ref="B1:R1"/>
    <mergeCell ref="B18:C18"/>
    <mergeCell ref="B32:R32"/>
    <mergeCell ref="B33:C33"/>
  </mergeCells>
  <printOptions/>
  <pageMargins left="0.7480314960629921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43">
      <selection activeCell="E51" sqref="E51"/>
    </sheetView>
  </sheetViews>
  <sheetFormatPr defaultColWidth="9.140625" defaultRowHeight="15"/>
  <cols>
    <col min="1" max="1" width="5.140625" style="57" customWidth="1"/>
    <col min="2" max="2" width="34.140625" style="14" customWidth="1"/>
    <col min="3" max="3" width="7.00390625" style="14" customWidth="1"/>
    <col min="4" max="4" width="5.00390625" style="14" customWidth="1"/>
    <col min="5" max="5" width="11.421875" style="14" customWidth="1"/>
    <col min="6" max="6" width="10.57421875" style="14" customWidth="1"/>
    <col min="7" max="7" width="11.8515625" style="14" customWidth="1"/>
    <col min="8" max="8" width="10.00390625" style="14" customWidth="1"/>
    <col min="9" max="16384" width="9.140625" style="14" customWidth="1"/>
  </cols>
  <sheetData>
    <row r="1" spans="1:5" s="2" customFormat="1" ht="15">
      <c r="A1" s="230" t="s">
        <v>0</v>
      </c>
      <c r="B1" s="230"/>
      <c r="C1" s="1" t="s">
        <v>200</v>
      </c>
      <c r="D1" s="1"/>
      <c r="E1" s="1"/>
    </row>
    <row r="2" spans="1:5" s="2" customFormat="1" ht="15">
      <c r="A2" s="60"/>
      <c r="B2" s="60"/>
      <c r="C2" s="1"/>
      <c r="D2" s="1"/>
      <c r="E2" s="1"/>
    </row>
    <row r="3" spans="1:7" s="2" customFormat="1" ht="15">
      <c r="A3" s="230" t="s">
        <v>8</v>
      </c>
      <c r="B3" s="230"/>
      <c r="C3" s="230"/>
      <c r="D3" s="230"/>
      <c r="E3" s="230"/>
      <c r="F3" s="3" t="s">
        <v>49</v>
      </c>
      <c r="G3" s="1"/>
    </row>
    <row r="4" s="2" customFormat="1" ht="15">
      <c r="A4" s="53"/>
    </row>
    <row r="5" spans="1:8" s="2" customFormat="1" ht="18.75">
      <c r="A5" s="231" t="s">
        <v>181</v>
      </c>
      <c r="B5" s="231"/>
      <c r="C5" s="231"/>
      <c r="D5" s="231"/>
      <c r="E5" s="231"/>
      <c r="F5" s="231"/>
      <c r="G5" s="231"/>
      <c r="H5" s="231"/>
    </row>
    <row r="6" spans="1:8" s="2" customFormat="1" ht="15">
      <c r="A6" s="214" t="s">
        <v>149</v>
      </c>
      <c r="B6" s="214"/>
      <c r="C6" s="214"/>
      <c r="D6" s="214"/>
      <c r="E6" s="214"/>
      <c r="F6" s="214"/>
      <c r="G6" s="214"/>
      <c r="H6" s="214"/>
    </row>
    <row r="7" spans="1:6" s="2" customFormat="1" ht="15">
      <c r="A7" s="53"/>
      <c r="B7" s="4" t="s">
        <v>2</v>
      </c>
      <c r="C7" s="4"/>
      <c r="D7" s="5" t="s">
        <v>193</v>
      </c>
      <c r="E7" s="4"/>
      <c r="F7" s="4"/>
    </row>
    <row r="8" s="2" customFormat="1" ht="7.5" customHeight="1">
      <c r="A8" s="53"/>
    </row>
    <row r="9" spans="1:9" s="2" customFormat="1" ht="15">
      <c r="A9" s="148" t="s">
        <v>23</v>
      </c>
      <c r="B9" s="148"/>
      <c r="C9" s="148"/>
      <c r="D9" s="148"/>
      <c r="E9" s="148"/>
      <c r="F9" s="148"/>
      <c r="G9" s="148"/>
      <c r="H9" s="7" t="s">
        <v>50</v>
      </c>
      <c r="I9" s="7"/>
    </row>
    <row r="10" spans="1:12" s="2" customFormat="1" ht="37.5" customHeight="1">
      <c r="A10" s="17" t="s">
        <v>3</v>
      </c>
      <c r="B10" s="15" t="s">
        <v>40</v>
      </c>
      <c r="C10" s="15" t="s">
        <v>5</v>
      </c>
      <c r="D10" s="15" t="s">
        <v>6</v>
      </c>
      <c r="E10" s="16" t="s">
        <v>17</v>
      </c>
      <c r="F10" s="16" t="s">
        <v>39</v>
      </c>
      <c r="G10" s="15" t="s">
        <v>18</v>
      </c>
      <c r="H10" s="15" t="s">
        <v>7</v>
      </c>
      <c r="L10" s="6"/>
    </row>
    <row r="11" spans="1:8" s="2" customFormat="1" ht="28.5" customHeight="1">
      <c r="A11" s="17" t="s">
        <v>24</v>
      </c>
      <c r="B11" s="18" t="s">
        <v>13</v>
      </c>
      <c r="C11" s="15" t="s">
        <v>16</v>
      </c>
      <c r="D11" s="19">
        <v>1</v>
      </c>
      <c r="E11" s="23">
        <v>12889.8</v>
      </c>
      <c r="F11" s="23"/>
      <c r="G11" s="23">
        <f aca="true" t="shared" si="0" ref="G11:G23">E11+F11</f>
        <v>12889.8</v>
      </c>
      <c r="H11" s="19"/>
    </row>
    <row r="12" spans="1:8" s="2" customFormat="1" ht="28.5" customHeight="1">
      <c r="A12" s="17" t="s">
        <v>25</v>
      </c>
      <c r="B12" s="18" t="s">
        <v>14</v>
      </c>
      <c r="C12" s="15" t="s">
        <v>16</v>
      </c>
      <c r="D12" s="19">
        <v>1</v>
      </c>
      <c r="E12" s="23">
        <v>5077.8</v>
      </c>
      <c r="F12" s="23">
        <v>185</v>
      </c>
      <c r="G12" s="23">
        <f t="shared" si="0"/>
        <v>5262.8</v>
      </c>
      <c r="H12" s="19"/>
    </row>
    <row r="13" spans="1:8" s="2" customFormat="1" ht="28.5" customHeight="1">
      <c r="A13" s="17" t="s">
        <v>26</v>
      </c>
      <c r="B13" s="18" t="s">
        <v>22</v>
      </c>
      <c r="C13" s="15" t="s">
        <v>16</v>
      </c>
      <c r="D13" s="19">
        <v>1</v>
      </c>
      <c r="E13" s="23">
        <v>0</v>
      </c>
      <c r="F13" s="23"/>
      <c r="G13" s="23">
        <f t="shared" si="0"/>
        <v>0</v>
      </c>
      <c r="H13" s="19"/>
    </row>
    <row r="14" spans="1:8" s="2" customFormat="1" ht="15">
      <c r="A14" s="17" t="s">
        <v>27</v>
      </c>
      <c r="B14" s="155" t="s">
        <v>129</v>
      </c>
      <c r="C14" s="158"/>
      <c r="D14" s="158"/>
      <c r="E14" s="158"/>
      <c r="F14" s="158">
        <v>98</v>
      </c>
      <c r="G14" s="23">
        <f t="shared" si="0"/>
        <v>98</v>
      </c>
      <c r="H14" s="19"/>
    </row>
    <row r="15" spans="1:8" s="2" customFormat="1" ht="15">
      <c r="A15" s="17" t="s">
        <v>28</v>
      </c>
      <c r="B15" s="18" t="s">
        <v>21</v>
      </c>
      <c r="C15" s="15" t="s">
        <v>16</v>
      </c>
      <c r="D15" s="19">
        <v>1</v>
      </c>
      <c r="E15" s="24">
        <v>25378.66</v>
      </c>
      <c r="F15" s="23"/>
      <c r="G15" s="23">
        <f t="shared" si="0"/>
        <v>25378.66</v>
      </c>
      <c r="H15" s="19"/>
    </row>
    <row r="16" spans="1:11" s="2" customFormat="1" ht="15">
      <c r="A16" s="17" t="s">
        <v>29</v>
      </c>
      <c r="B16" s="18" t="s">
        <v>19</v>
      </c>
      <c r="C16" s="15" t="s">
        <v>16</v>
      </c>
      <c r="D16" s="19">
        <v>1</v>
      </c>
      <c r="E16" s="20">
        <v>14415.31</v>
      </c>
      <c r="F16" s="23"/>
      <c r="G16" s="23">
        <f t="shared" si="0"/>
        <v>14415.31</v>
      </c>
      <c r="H16" s="19"/>
      <c r="K16" s="2" t="s">
        <v>97</v>
      </c>
    </row>
    <row r="17" spans="1:8" s="2" customFormat="1" ht="15">
      <c r="A17" s="17" t="s">
        <v>30</v>
      </c>
      <c r="B17" s="18" t="s">
        <v>20</v>
      </c>
      <c r="C17" s="15" t="s">
        <v>16</v>
      </c>
      <c r="D17" s="19">
        <v>1</v>
      </c>
      <c r="E17" s="23">
        <v>827.84</v>
      </c>
      <c r="F17" s="23"/>
      <c r="G17" s="23">
        <f t="shared" si="0"/>
        <v>827.84</v>
      </c>
      <c r="H17" s="19"/>
    </row>
    <row r="18" spans="1:8" s="2" customFormat="1" ht="15">
      <c r="A18" s="17" t="s">
        <v>31</v>
      </c>
      <c r="B18" s="18" t="s">
        <v>51</v>
      </c>
      <c r="C18" s="15" t="s">
        <v>16</v>
      </c>
      <c r="D18" s="19">
        <v>1</v>
      </c>
      <c r="E18" s="23"/>
      <c r="F18" s="23"/>
      <c r="G18" s="23">
        <f t="shared" si="0"/>
        <v>0</v>
      </c>
      <c r="H18" s="19"/>
    </row>
    <row r="19" spans="1:8" s="2" customFormat="1" ht="15">
      <c r="A19" s="17" t="s">
        <v>134</v>
      </c>
      <c r="B19" s="18" t="s">
        <v>52</v>
      </c>
      <c r="C19" s="15" t="s">
        <v>16</v>
      </c>
      <c r="D19" s="19">
        <v>1</v>
      </c>
      <c r="E19" s="23">
        <v>3182</v>
      </c>
      <c r="F19" s="23"/>
      <c r="G19" s="23">
        <f t="shared" si="0"/>
        <v>3182</v>
      </c>
      <c r="H19" s="19"/>
    </row>
    <row r="20" spans="1:8" s="2" customFormat="1" ht="15">
      <c r="A20" s="17" t="s">
        <v>135</v>
      </c>
      <c r="B20" s="33" t="s">
        <v>105</v>
      </c>
      <c r="C20" s="15" t="s">
        <v>16</v>
      </c>
      <c r="D20" s="19">
        <v>1</v>
      </c>
      <c r="E20" s="23">
        <v>487.27</v>
      </c>
      <c r="F20" s="23"/>
      <c r="G20" s="23">
        <f t="shared" si="0"/>
        <v>487.27</v>
      </c>
      <c r="H20" s="19"/>
    </row>
    <row r="21" spans="1:8" s="2" customFormat="1" ht="15">
      <c r="A21" s="17" t="s">
        <v>189</v>
      </c>
      <c r="B21" s="33" t="s">
        <v>106</v>
      </c>
      <c r="C21" s="15" t="s">
        <v>16</v>
      </c>
      <c r="D21" s="19">
        <v>1</v>
      </c>
      <c r="E21" s="23"/>
      <c r="F21" s="23"/>
      <c r="G21" s="23">
        <f t="shared" si="0"/>
        <v>0</v>
      </c>
      <c r="H21" s="19"/>
    </row>
    <row r="22" spans="1:8" s="2" customFormat="1" ht="15">
      <c r="A22" s="17" t="s">
        <v>190</v>
      </c>
      <c r="B22" s="33" t="s">
        <v>109</v>
      </c>
      <c r="C22" s="15" t="s">
        <v>16</v>
      </c>
      <c r="D22" s="19">
        <v>1</v>
      </c>
      <c r="E22" s="23"/>
      <c r="F22" s="23"/>
      <c r="G22" s="23">
        <f t="shared" si="0"/>
        <v>0</v>
      </c>
      <c r="H22" s="19"/>
    </row>
    <row r="23" spans="1:8" s="2" customFormat="1" ht="15">
      <c r="A23" s="17" t="s">
        <v>191</v>
      </c>
      <c r="B23" s="33" t="s">
        <v>107</v>
      </c>
      <c r="C23" s="15" t="s">
        <v>16</v>
      </c>
      <c r="D23" s="19">
        <v>1</v>
      </c>
      <c r="E23" s="23"/>
      <c r="F23" s="23"/>
      <c r="G23" s="23">
        <f t="shared" si="0"/>
        <v>0</v>
      </c>
      <c r="H23" s="19"/>
    </row>
    <row r="24" spans="1:8" s="2" customFormat="1" ht="15">
      <c r="A24" s="17" t="s">
        <v>192</v>
      </c>
      <c r="B24" s="18" t="s">
        <v>48</v>
      </c>
      <c r="C24" s="15"/>
      <c r="D24" s="19"/>
      <c r="E24" s="23">
        <f>E25+E26</f>
        <v>2600</v>
      </c>
      <c r="F24" s="23">
        <f>F25+F26</f>
        <v>91.05</v>
      </c>
      <c r="G24" s="23">
        <f>G25+G26</f>
        <v>2691.05</v>
      </c>
      <c r="H24" s="19"/>
    </row>
    <row r="25" spans="1:8" s="4" customFormat="1" ht="15">
      <c r="A25" s="55"/>
      <c r="B25" s="34" t="s">
        <v>203</v>
      </c>
      <c r="C25" s="160"/>
      <c r="D25" s="35"/>
      <c r="E25" s="36">
        <v>2600</v>
      </c>
      <c r="F25" s="36">
        <v>91.05</v>
      </c>
      <c r="G25" s="36">
        <f>E25+F25</f>
        <v>2691.05</v>
      </c>
      <c r="H25" s="35"/>
    </row>
    <row r="26" spans="1:8" s="4" customFormat="1" ht="15">
      <c r="A26" s="55"/>
      <c r="B26" s="34"/>
      <c r="C26" s="160" t="s">
        <v>9</v>
      </c>
      <c r="D26" s="35"/>
      <c r="E26" s="161"/>
      <c r="F26" s="36"/>
      <c r="G26" s="36">
        <f>E26+F26</f>
        <v>0</v>
      </c>
      <c r="H26" s="35"/>
    </row>
    <row r="27" spans="1:8" s="2" customFormat="1" ht="17.25" customHeight="1">
      <c r="A27" s="61" t="s">
        <v>33</v>
      </c>
      <c r="B27" s="62"/>
      <c r="C27" s="170"/>
      <c r="D27" s="135"/>
      <c r="E27" s="171">
        <f>E11+E12+E13+E14+E15+E16+E17+E18+E19+E24+E20+E21+E22+E23</f>
        <v>64858.679999999986</v>
      </c>
      <c r="F27" s="171">
        <f>F11+F12+F13+F14+F15+F16+F17+F18+F19+F24+F20+F21+F22+F23</f>
        <v>374.05</v>
      </c>
      <c r="G27" s="171">
        <f>G11+G12+G13+G14+G15+G16+G17+G18+G19+G24+G20+G21+G22+G23</f>
        <v>65232.72999999999</v>
      </c>
      <c r="H27" s="41"/>
    </row>
    <row r="28" s="2" customFormat="1" ht="8.25" customHeight="1">
      <c r="A28" s="53"/>
    </row>
    <row r="29" spans="1:8" s="2" customFormat="1" ht="15">
      <c r="A29" s="148" t="s">
        <v>32</v>
      </c>
      <c r="B29" s="148"/>
      <c r="C29" s="148"/>
      <c r="D29" s="148"/>
      <c r="E29" s="148"/>
      <c r="F29" s="148"/>
      <c r="G29" s="148"/>
      <c r="H29" s="148"/>
    </row>
    <row r="30" spans="1:8" s="2" customFormat="1" ht="36.75" customHeight="1">
      <c r="A30" s="17" t="s">
        <v>3</v>
      </c>
      <c r="B30" s="15" t="s">
        <v>40</v>
      </c>
      <c r="C30" s="15" t="s">
        <v>5</v>
      </c>
      <c r="D30" s="15" t="s">
        <v>6</v>
      </c>
      <c r="E30" s="16" t="s">
        <v>17</v>
      </c>
      <c r="F30" s="16" t="s">
        <v>39</v>
      </c>
      <c r="G30" s="15" t="s">
        <v>18</v>
      </c>
      <c r="H30" s="15" t="s">
        <v>7</v>
      </c>
    </row>
    <row r="31" spans="1:8" s="2" customFormat="1" ht="25.5" customHeight="1">
      <c r="A31" s="17" t="s">
        <v>34</v>
      </c>
      <c r="B31" s="18" t="s">
        <v>150</v>
      </c>
      <c r="C31" s="15" t="s">
        <v>16</v>
      </c>
      <c r="D31" s="19">
        <v>1</v>
      </c>
      <c r="E31" s="23">
        <v>20903.42</v>
      </c>
      <c r="F31" s="23">
        <v>635.4</v>
      </c>
      <c r="G31" s="23">
        <f aca="true" t="shared" si="1" ref="G31:G37">E31+F31</f>
        <v>21538.82</v>
      </c>
      <c r="H31" s="19"/>
    </row>
    <row r="32" spans="1:8" s="2" customFormat="1" ht="26.25" customHeight="1">
      <c r="A32" s="17" t="s">
        <v>35</v>
      </c>
      <c r="B32" s="18" t="s">
        <v>151</v>
      </c>
      <c r="C32" s="15" t="s">
        <v>16</v>
      </c>
      <c r="D32" s="19">
        <v>1</v>
      </c>
      <c r="E32" s="23">
        <v>4605.55</v>
      </c>
      <c r="F32" s="23"/>
      <c r="G32" s="23">
        <f t="shared" si="1"/>
        <v>4605.55</v>
      </c>
      <c r="H32" s="19"/>
    </row>
    <row r="33" spans="1:8" s="2" customFormat="1" ht="15">
      <c r="A33" s="17" t="s">
        <v>36</v>
      </c>
      <c r="B33" s="155" t="s">
        <v>129</v>
      </c>
      <c r="C33" s="15"/>
      <c r="D33" s="19"/>
      <c r="E33" s="23"/>
      <c r="F33" s="23">
        <v>63</v>
      </c>
      <c r="G33" s="23">
        <f t="shared" si="1"/>
        <v>63</v>
      </c>
      <c r="H33" s="19"/>
    </row>
    <row r="34" spans="1:8" s="2" customFormat="1" ht="15">
      <c r="A34" s="17" t="s">
        <v>37</v>
      </c>
      <c r="B34" s="18" t="s">
        <v>53</v>
      </c>
      <c r="C34" s="15" t="s">
        <v>16</v>
      </c>
      <c r="D34" s="19">
        <v>1</v>
      </c>
      <c r="E34" s="23"/>
      <c r="F34" s="23"/>
      <c r="G34" s="23">
        <f t="shared" si="1"/>
        <v>0</v>
      </c>
      <c r="H34" s="19"/>
    </row>
    <row r="35" spans="1:8" s="2" customFormat="1" ht="15">
      <c r="A35" s="17" t="s">
        <v>137</v>
      </c>
      <c r="B35" s="18" t="s">
        <v>48</v>
      </c>
      <c r="C35" s="15" t="s">
        <v>9</v>
      </c>
      <c r="D35" s="19">
        <v>1</v>
      </c>
      <c r="E35" s="23">
        <f>E36+E37</f>
        <v>0</v>
      </c>
      <c r="F35" s="23">
        <f>F36+F37</f>
        <v>0</v>
      </c>
      <c r="G35" s="23">
        <f t="shared" si="1"/>
        <v>0</v>
      </c>
      <c r="H35" s="19"/>
    </row>
    <row r="36" spans="1:8" s="4" customFormat="1" ht="15">
      <c r="A36" s="55"/>
      <c r="B36" s="34"/>
      <c r="C36" s="160"/>
      <c r="D36" s="35"/>
      <c r="E36" s="36"/>
      <c r="F36" s="36"/>
      <c r="G36" s="36">
        <f t="shared" si="1"/>
        <v>0</v>
      </c>
      <c r="H36" s="35"/>
    </row>
    <row r="37" spans="1:9" s="4" customFormat="1" ht="15">
      <c r="A37" s="55"/>
      <c r="B37" s="34"/>
      <c r="C37" s="160"/>
      <c r="D37" s="35"/>
      <c r="E37" s="36"/>
      <c r="F37" s="36"/>
      <c r="G37" s="36">
        <f t="shared" si="1"/>
        <v>0</v>
      </c>
      <c r="H37" s="35"/>
      <c r="I37" s="4" t="s">
        <v>97</v>
      </c>
    </row>
    <row r="38" spans="1:8" s="2" customFormat="1" ht="15">
      <c r="A38" s="227" t="s">
        <v>10</v>
      </c>
      <c r="B38" s="228"/>
      <c r="C38" s="229"/>
      <c r="D38" s="41"/>
      <c r="E38" s="171">
        <f>E31+E32+E33+E34+E35</f>
        <v>25508.969999999998</v>
      </c>
      <c r="F38" s="171">
        <f>F31+F32+F33+F34+F35</f>
        <v>698.4</v>
      </c>
      <c r="G38" s="171">
        <f>G31+G32+G33+G34+G35</f>
        <v>26207.37</v>
      </c>
      <c r="H38" s="41"/>
    </row>
    <row r="39" s="2" customFormat="1" ht="9.75" customHeight="1">
      <c r="A39" s="53"/>
    </row>
    <row r="40" spans="1:8" s="2" customFormat="1" ht="15">
      <c r="A40" s="219" t="s">
        <v>38</v>
      </c>
      <c r="B40" s="219"/>
      <c r="C40" s="219"/>
      <c r="D40" s="219"/>
      <c r="E40" s="219"/>
      <c r="F40" s="219"/>
      <c r="G40" s="219"/>
      <c r="H40" s="219"/>
    </row>
    <row r="41" spans="1:8" s="2" customFormat="1" ht="36" customHeight="1">
      <c r="A41" s="17" t="s">
        <v>3</v>
      </c>
      <c r="B41" s="15" t="s">
        <v>40</v>
      </c>
      <c r="C41" s="15" t="s">
        <v>5</v>
      </c>
      <c r="D41" s="15" t="s">
        <v>6</v>
      </c>
      <c r="E41" s="16" t="s">
        <v>17</v>
      </c>
      <c r="F41" s="16" t="s">
        <v>39</v>
      </c>
      <c r="G41" s="15" t="s">
        <v>18</v>
      </c>
      <c r="H41" s="15" t="s">
        <v>7</v>
      </c>
    </row>
    <row r="42" spans="1:8" s="2" customFormat="1" ht="26.25" customHeight="1">
      <c r="A42" s="17" t="s">
        <v>42</v>
      </c>
      <c r="B42" s="18" t="s">
        <v>153</v>
      </c>
      <c r="C42" s="15" t="s">
        <v>16</v>
      </c>
      <c r="D42" s="15">
        <v>1</v>
      </c>
      <c r="E42" s="25">
        <v>2081.28</v>
      </c>
      <c r="F42" s="25">
        <v>250</v>
      </c>
      <c r="G42" s="26">
        <f>E42+F42</f>
        <v>2331.28</v>
      </c>
      <c r="H42" s="19"/>
    </row>
    <row r="43" spans="1:8" s="2" customFormat="1" ht="15">
      <c r="A43" s="17"/>
      <c r="B43" s="155" t="s">
        <v>129</v>
      </c>
      <c r="C43" s="15"/>
      <c r="D43" s="15"/>
      <c r="E43" s="25"/>
      <c r="F43" s="25"/>
      <c r="G43" s="26">
        <f>E43+F43</f>
        <v>0</v>
      </c>
      <c r="H43" s="19"/>
    </row>
    <row r="44" spans="1:8" s="2" customFormat="1" ht="15">
      <c r="A44" s="17" t="s">
        <v>43</v>
      </c>
      <c r="B44" s="18" t="s">
        <v>48</v>
      </c>
      <c r="C44" s="15"/>
      <c r="D44" s="15"/>
      <c r="E44" s="25"/>
      <c r="F44" s="25"/>
      <c r="G44" s="26">
        <f>E44+F44</f>
        <v>0</v>
      </c>
      <c r="H44" s="19"/>
    </row>
    <row r="45" spans="1:11" s="2" customFormat="1" ht="15">
      <c r="A45" s="17"/>
      <c r="B45" s="18"/>
      <c r="C45" s="15"/>
      <c r="D45" s="19"/>
      <c r="E45" s="23"/>
      <c r="F45" s="26"/>
      <c r="G45" s="37">
        <f>E45+F45</f>
        <v>0</v>
      </c>
      <c r="H45" s="19"/>
      <c r="K45" s="12">
        <f>F27+F38+F47</f>
        <v>1322.45</v>
      </c>
    </row>
    <row r="46" spans="1:8" s="2" customFormat="1" ht="15">
      <c r="A46" s="17"/>
      <c r="B46" s="18"/>
      <c r="C46" s="19"/>
      <c r="D46" s="19"/>
      <c r="E46" s="23"/>
      <c r="F46" s="26"/>
      <c r="G46" s="37">
        <f>E46+F46</f>
        <v>0</v>
      </c>
      <c r="H46" s="19"/>
    </row>
    <row r="47" spans="1:8" s="2" customFormat="1" ht="15">
      <c r="A47" s="211" t="s">
        <v>41</v>
      </c>
      <c r="B47" s="212"/>
      <c r="C47" s="213"/>
      <c r="D47" s="41"/>
      <c r="E47" s="42">
        <f>SUM(E42:E46)</f>
        <v>2081.28</v>
      </c>
      <c r="F47" s="44">
        <f>SUM(F42:F44)</f>
        <v>250</v>
      </c>
      <c r="G47" s="42">
        <f>SUM(G42:G46)</f>
        <v>2331.28</v>
      </c>
      <c r="H47" s="41"/>
    </row>
    <row r="48" spans="1:8" s="2" customFormat="1" ht="7.5" customHeight="1">
      <c r="A48" s="54"/>
      <c r="B48" s="8"/>
      <c r="C48" s="8"/>
      <c r="D48" s="9"/>
      <c r="E48" s="9"/>
      <c r="F48" s="10"/>
      <c r="G48" s="9"/>
      <c r="H48" s="11"/>
    </row>
    <row r="49" spans="1:8" s="7" customFormat="1" ht="15" customHeight="1">
      <c r="A49" s="219" t="s">
        <v>154</v>
      </c>
      <c r="B49" s="219"/>
      <c r="C49" s="219"/>
      <c r="D49" s="219"/>
      <c r="E49" s="219"/>
      <c r="F49" s="219"/>
      <c r="G49" s="219"/>
      <c r="H49" s="58"/>
    </row>
    <row r="50" spans="1:7" s="2" customFormat="1" ht="24.75">
      <c r="A50" s="17" t="s">
        <v>3</v>
      </c>
      <c r="B50" s="15" t="s">
        <v>4</v>
      </c>
      <c r="C50" s="15" t="s">
        <v>5</v>
      </c>
      <c r="D50" s="15" t="s">
        <v>6</v>
      </c>
      <c r="E50" s="16" t="s">
        <v>45</v>
      </c>
      <c r="F50" s="220" t="s">
        <v>46</v>
      </c>
      <c r="G50" s="221"/>
    </row>
    <row r="51" spans="1:7" s="2" customFormat="1" ht="25.5" customHeight="1">
      <c r="A51" s="17" t="s">
        <v>67</v>
      </c>
      <c r="B51" s="27" t="s">
        <v>152</v>
      </c>
      <c r="C51" s="29" t="s">
        <v>16</v>
      </c>
      <c r="D51" s="28">
        <v>1</v>
      </c>
      <c r="E51" s="30">
        <f>5883.8*2.274</f>
        <v>13379.7612</v>
      </c>
      <c r="F51" s="30"/>
      <c r="G51" s="30"/>
    </row>
    <row r="52" spans="1:7" s="2" customFormat="1" ht="15">
      <c r="A52" s="17" t="s">
        <v>68</v>
      </c>
      <c r="B52" s="28" t="s">
        <v>54</v>
      </c>
      <c r="C52" s="29" t="s">
        <v>16</v>
      </c>
      <c r="D52" s="28">
        <v>1</v>
      </c>
      <c r="E52" s="30">
        <f>5883.8*0.4</f>
        <v>2353.52</v>
      </c>
      <c r="F52" s="30"/>
      <c r="G52" s="30"/>
    </row>
    <row r="53" spans="1:7" s="2" customFormat="1" ht="15">
      <c r="A53" s="17" t="s">
        <v>69</v>
      </c>
      <c r="B53" s="28" t="s">
        <v>55</v>
      </c>
      <c r="C53" s="29" t="s">
        <v>16</v>
      </c>
      <c r="D53" s="28">
        <v>1</v>
      </c>
      <c r="E53" s="30">
        <f>5883.8*0.21</f>
        <v>1235.598</v>
      </c>
      <c r="F53" s="30"/>
      <c r="G53" s="30"/>
    </row>
    <row r="54" spans="1:7" s="2" customFormat="1" ht="15">
      <c r="A54" s="17" t="s">
        <v>70</v>
      </c>
      <c r="B54" s="28" t="s">
        <v>56</v>
      </c>
      <c r="C54" s="29" t="s">
        <v>16</v>
      </c>
      <c r="D54" s="28">
        <v>1</v>
      </c>
      <c r="E54" s="30">
        <v>1702.09</v>
      </c>
      <c r="F54" s="30"/>
      <c r="G54" s="30"/>
    </row>
    <row r="55" spans="1:7" s="2" customFormat="1" ht="15">
      <c r="A55" s="17" t="s">
        <v>72</v>
      </c>
      <c r="B55" s="18" t="s">
        <v>75</v>
      </c>
      <c r="C55" s="29" t="s">
        <v>16</v>
      </c>
      <c r="D55" s="28">
        <v>1</v>
      </c>
      <c r="E55" s="30">
        <f>E56+E57+E58+E59+E60+E61+E62+E63+E64</f>
        <v>5176.66</v>
      </c>
      <c r="F55" s="30"/>
      <c r="G55" s="30"/>
    </row>
    <row r="56" spans="1:7" s="4" customFormat="1" ht="15">
      <c r="A56" s="55"/>
      <c r="B56" s="34" t="s">
        <v>64</v>
      </c>
      <c r="C56" s="29" t="s">
        <v>16</v>
      </c>
      <c r="D56" s="28">
        <v>1</v>
      </c>
      <c r="E56" s="36">
        <v>718.54</v>
      </c>
      <c r="F56" s="37"/>
      <c r="G56" s="36"/>
    </row>
    <row r="57" spans="1:11" s="4" customFormat="1" ht="15">
      <c r="A57" s="55"/>
      <c r="B57" s="34" t="s">
        <v>65</v>
      </c>
      <c r="C57" s="29" t="s">
        <v>16</v>
      </c>
      <c r="D57" s="28">
        <v>1</v>
      </c>
      <c r="E57" s="36">
        <v>308.04</v>
      </c>
      <c r="F57" s="37"/>
      <c r="G57" s="36"/>
      <c r="J57" s="38"/>
      <c r="K57" s="39"/>
    </row>
    <row r="58" spans="1:7" s="4" customFormat="1" ht="24.75">
      <c r="A58" s="55"/>
      <c r="B58" s="34" t="s">
        <v>66</v>
      </c>
      <c r="C58" s="29" t="s">
        <v>16</v>
      </c>
      <c r="D58" s="28">
        <v>1</v>
      </c>
      <c r="E58" s="36">
        <f>810.74+1299.39</f>
        <v>2110.13</v>
      </c>
      <c r="F58" s="37"/>
      <c r="G58" s="36"/>
    </row>
    <row r="59" spans="1:7" s="4" customFormat="1" ht="15">
      <c r="A59" s="55"/>
      <c r="B59" s="34" t="s">
        <v>71</v>
      </c>
      <c r="C59" s="29" t="s">
        <v>16</v>
      </c>
      <c r="D59" s="28">
        <v>1</v>
      </c>
      <c r="E59" s="35">
        <v>865.79</v>
      </c>
      <c r="F59" s="40"/>
      <c r="G59" s="35"/>
    </row>
    <row r="60" spans="1:7" s="4" customFormat="1" ht="15">
      <c r="A60" s="55"/>
      <c r="B60" s="34" t="s">
        <v>76</v>
      </c>
      <c r="C60" s="29" t="s">
        <v>16</v>
      </c>
      <c r="D60" s="28">
        <v>1</v>
      </c>
      <c r="E60" s="35"/>
      <c r="F60" s="40"/>
      <c r="G60" s="35"/>
    </row>
    <row r="61" spans="1:7" s="4" customFormat="1" ht="15">
      <c r="A61" s="55"/>
      <c r="B61" s="34" t="s">
        <v>74</v>
      </c>
      <c r="C61" s="29" t="s">
        <v>16</v>
      </c>
      <c r="D61" s="28">
        <v>1</v>
      </c>
      <c r="E61" s="35">
        <v>1119.73</v>
      </c>
      <c r="F61" s="40"/>
      <c r="G61" s="35"/>
    </row>
    <row r="62" spans="1:7" s="4" customFormat="1" ht="15">
      <c r="A62" s="55"/>
      <c r="B62" s="34" t="s">
        <v>77</v>
      </c>
      <c r="C62" s="29" t="s">
        <v>16</v>
      </c>
      <c r="D62" s="28">
        <v>1</v>
      </c>
      <c r="E62" s="35">
        <v>54.43</v>
      </c>
      <c r="F62" s="40"/>
      <c r="G62" s="35"/>
    </row>
    <row r="63" spans="1:7" s="4" customFormat="1" ht="15">
      <c r="A63" s="55"/>
      <c r="B63" s="34" t="s">
        <v>78</v>
      </c>
      <c r="C63" s="29" t="s">
        <v>16</v>
      </c>
      <c r="D63" s="28">
        <v>1</v>
      </c>
      <c r="E63" s="35"/>
      <c r="F63" s="40"/>
      <c r="G63" s="35"/>
    </row>
    <row r="64" spans="1:9" s="4" customFormat="1" ht="15">
      <c r="A64" s="55"/>
      <c r="B64" s="34"/>
      <c r="C64" s="35"/>
      <c r="D64" s="35"/>
      <c r="E64" s="35"/>
      <c r="F64" s="40"/>
      <c r="G64" s="35"/>
      <c r="I64" s="39"/>
    </row>
    <row r="65" spans="1:7" s="2" customFormat="1" ht="15">
      <c r="A65" s="180" t="s">
        <v>155</v>
      </c>
      <c r="B65" s="181"/>
      <c r="C65" s="182"/>
      <c r="D65" s="41"/>
      <c r="E65" s="42">
        <f>E51+E52+E53+E54+E55</f>
        <v>23847.629200000003</v>
      </c>
      <c r="F65" s="43"/>
      <c r="G65" s="41"/>
    </row>
    <row r="66" spans="1:7" s="52" customFormat="1" ht="25.5">
      <c r="A66" s="56" t="s">
        <v>156</v>
      </c>
      <c r="B66" s="47" t="s">
        <v>57</v>
      </c>
      <c r="C66" s="48" t="s">
        <v>16</v>
      </c>
      <c r="D66" s="49">
        <v>1</v>
      </c>
      <c r="E66" s="51">
        <v>4448.5</v>
      </c>
      <c r="F66" s="50"/>
      <c r="G66" s="51"/>
    </row>
    <row r="67" spans="1:7" s="46" customFormat="1" ht="15" customHeight="1">
      <c r="A67" s="222" t="s">
        <v>157</v>
      </c>
      <c r="B67" s="223"/>
      <c r="C67" s="223"/>
      <c r="D67" s="223"/>
      <c r="E67" s="223"/>
      <c r="F67" s="223"/>
      <c r="G67" s="224"/>
    </row>
    <row r="68" spans="1:7" s="2" customFormat="1" ht="33.75" customHeight="1">
      <c r="A68" s="17" t="s">
        <v>3</v>
      </c>
      <c r="B68" s="15" t="s">
        <v>4</v>
      </c>
      <c r="C68" s="15" t="s">
        <v>5</v>
      </c>
      <c r="D68" s="15" t="s">
        <v>6</v>
      </c>
      <c r="E68" s="16" t="s">
        <v>45</v>
      </c>
      <c r="F68" s="220" t="s">
        <v>46</v>
      </c>
      <c r="G68" s="221"/>
    </row>
    <row r="69" spans="1:7" s="2" customFormat="1" ht="25.5" customHeight="1">
      <c r="A69" s="17"/>
      <c r="B69" s="33" t="s">
        <v>58</v>
      </c>
      <c r="C69" s="29" t="s">
        <v>16</v>
      </c>
      <c r="D69" s="28">
        <v>1</v>
      </c>
      <c r="E69" s="30">
        <v>39362.31</v>
      </c>
      <c r="F69" s="30"/>
      <c r="G69" s="30"/>
    </row>
    <row r="70" spans="1:7" s="2" customFormat="1" ht="15">
      <c r="A70" s="17"/>
      <c r="B70" s="33" t="s">
        <v>59</v>
      </c>
      <c r="C70" s="29" t="s">
        <v>16</v>
      </c>
      <c r="D70" s="28">
        <v>1</v>
      </c>
      <c r="E70" s="30"/>
      <c r="F70" s="30"/>
      <c r="G70" s="30"/>
    </row>
    <row r="71" spans="1:7" s="2" customFormat="1" ht="15">
      <c r="A71" s="17"/>
      <c r="B71" s="33" t="s">
        <v>60</v>
      </c>
      <c r="C71" s="29" t="s">
        <v>16</v>
      </c>
      <c r="D71" s="28">
        <v>1</v>
      </c>
      <c r="E71" s="30">
        <v>16195.31</v>
      </c>
      <c r="F71" s="30"/>
      <c r="G71" s="30"/>
    </row>
    <row r="72" spans="1:7" s="2" customFormat="1" ht="15">
      <c r="A72" s="17"/>
      <c r="B72" s="33" t="s">
        <v>61</v>
      </c>
      <c r="C72" s="29" t="s">
        <v>16</v>
      </c>
      <c r="D72" s="28">
        <v>1</v>
      </c>
      <c r="E72" s="30">
        <v>13389.85</v>
      </c>
      <c r="F72" s="30"/>
      <c r="G72" s="30"/>
    </row>
    <row r="73" spans="1:9" s="2" customFormat="1" ht="15">
      <c r="A73" s="17"/>
      <c r="B73" s="33" t="s">
        <v>62</v>
      </c>
      <c r="C73" s="29" t="s">
        <v>16</v>
      </c>
      <c r="D73" s="19">
        <v>1</v>
      </c>
      <c r="E73" s="30">
        <v>12899.89</v>
      </c>
      <c r="F73" s="26"/>
      <c r="G73" s="23"/>
      <c r="I73" s="13">
        <f>E72+E73</f>
        <v>26289.739999999998</v>
      </c>
    </row>
    <row r="74" spans="1:7" s="2" customFormat="1" ht="15">
      <c r="A74" s="17"/>
      <c r="B74" s="18"/>
      <c r="C74" s="29"/>
      <c r="D74" s="28"/>
      <c r="E74" s="30"/>
      <c r="F74" s="30"/>
      <c r="G74" s="30"/>
    </row>
    <row r="75" spans="1:7" s="2" customFormat="1" ht="15">
      <c r="A75" s="215" t="s">
        <v>63</v>
      </c>
      <c r="B75" s="216"/>
      <c r="C75" s="217"/>
      <c r="D75" s="19"/>
      <c r="E75" s="30">
        <f>SUM(E69:E74)</f>
        <v>81847.36</v>
      </c>
      <c r="F75" s="21"/>
      <c r="G75" s="19"/>
    </row>
    <row r="76" spans="1:7" s="2" customFormat="1" ht="15">
      <c r="A76" s="54"/>
      <c r="B76" s="8"/>
      <c r="C76" s="8"/>
      <c r="D76" s="31"/>
      <c r="E76" s="45"/>
      <c r="F76" s="32"/>
      <c r="G76" s="31"/>
    </row>
    <row r="77" spans="1:7" s="2" customFormat="1" ht="15">
      <c r="A77" s="54"/>
      <c r="B77" s="8"/>
      <c r="C77" s="8"/>
      <c r="D77" s="31"/>
      <c r="E77" s="45"/>
      <c r="F77" s="32"/>
      <c r="G77" s="31"/>
    </row>
    <row r="78" spans="1:7" s="2" customFormat="1" ht="15">
      <c r="A78" s="54"/>
      <c r="B78" s="8"/>
      <c r="C78" s="8"/>
      <c r="D78" s="31"/>
      <c r="E78" s="45"/>
      <c r="F78" s="32"/>
      <c r="G78" s="31"/>
    </row>
    <row r="79" spans="1:7" s="2" customFormat="1" ht="15">
      <c r="A79" s="54"/>
      <c r="B79" s="8"/>
      <c r="C79" s="8"/>
      <c r="D79" s="31"/>
      <c r="E79" s="45"/>
      <c r="F79" s="32"/>
      <c r="G79" s="31"/>
    </row>
    <row r="80" s="2" customFormat="1" ht="15">
      <c r="A80" s="53"/>
    </row>
    <row r="81" spans="1:7" s="2" customFormat="1" ht="15">
      <c r="A81" s="218" t="s">
        <v>11</v>
      </c>
      <c r="B81" s="218"/>
      <c r="C81" s="218"/>
      <c r="D81" s="218"/>
      <c r="E81" s="225">
        <f>G27+G38+G47+E65+E66+E75</f>
        <v>203914.86920000002</v>
      </c>
      <c r="F81" s="225"/>
      <c r="G81" s="225"/>
    </row>
    <row r="82" spans="1:7" s="2" customFormat="1" ht="15">
      <c r="A82" s="53"/>
      <c r="G82" s="13"/>
    </row>
    <row r="83" s="2" customFormat="1" ht="15">
      <c r="A83" s="53"/>
    </row>
    <row r="84" s="2" customFormat="1" ht="15">
      <c r="A84" s="53"/>
    </row>
    <row r="85" s="2" customFormat="1" ht="15">
      <c r="A85" s="53"/>
    </row>
    <row r="86" spans="1:5" s="2" customFormat="1" ht="15">
      <c r="A86" s="226" t="s">
        <v>47</v>
      </c>
      <c r="B86" s="226"/>
      <c r="E86" s="2" t="s">
        <v>12</v>
      </c>
    </row>
    <row r="87" spans="1:5" s="2" customFormat="1" ht="15">
      <c r="A87" s="226" t="s">
        <v>1</v>
      </c>
      <c r="B87" s="226"/>
      <c r="E87" s="2" t="s">
        <v>201</v>
      </c>
    </row>
    <row r="88" spans="1:5" s="2" customFormat="1" ht="30" customHeight="1">
      <c r="A88" s="214" t="s">
        <v>73</v>
      </c>
      <c r="B88" s="214"/>
      <c r="C88" s="22"/>
      <c r="E88" s="2" t="s">
        <v>202</v>
      </c>
    </row>
    <row r="89" s="2" customFormat="1" ht="15">
      <c r="A89" s="53"/>
    </row>
    <row r="90" s="2" customFormat="1" ht="15">
      <c r="A90" s="53"/>
    </row>
    <row r="91" s="2" customFormat="1" ht="15">
      <c r="A91" s="53"/>
    </row>
    <row r="92" s="2" customFormat="1" ht="15">
      <c r="A92" s="53"/>
    </row>
  </sheetData>
  <sheetProtection/>
  <mergeCells count="17">
    <mergeCell ref="A75:C75"/>
    <mergeCell ref="A40:H40"/>
    <mergeCell ref="A47:C47"/>
    <mergeCell ref="A49:G49"/>
    <mergeCell ref="F50:G50"/>
    <mergeCell ref="A67:G67"/>
    <mergeCell ref="F68:G68"/>
    <mergeCell ref="E81:G81"/>
    <mergeCell ref="A86:B86"/>
    <mergeCell ref="A87:B87"/>
    <mergeCell ref="A88:B88"/>
    <mergeCell ref="A81:D81"/>
    <mergeCell ref="A38:C38"/>
    <mergeCell ref="A1:B1"/>
    <mergeCell ref="A3:E3"/>
    <mergeCell ref="A5:H5"/>
    <mergeCell ref="A6:H6"/>
  </mergeCells>
  <printOptions/>
  <pageMargins left="0.46" right="0.23" top="0.46" bottom="0.32" header="0.32" footer="0.7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34">
      <selection activeCell="F34" sqref="F34"/>
    </sheetView>
  </sheetViews>
  <sheetFormatPr defaultColWidth="9.140625" defaultRowHeight="15"/>
  <cols>
    <col min="1" max="1" width="5.140625" style="57" customWidth="1"/>
    <col min="2" max="2" width="34.140625" style="14" customWidth="1"/>
    <col min="3" max="3" width="7.00390625" style="14" customWidth="1"/>
    <col min="4" max="4" width="5.00390625" style="14" customWidth="1"/>
    <col min="5" max="5" width="11.421875" style="14" customWidth="1"/>
    <col min="6" max="6" width="10.57421875" style="14" customWidth="1"/>
    <col min="7" max="7" width="11.8515625" style="14" customWidth="1"/>
    <col min="8" max="8" width="10.00390625" style="14" customWidth="1"/>
    <col min="9" max="16384" width="9.140625" style="14" customWidth="1"/>
  </cols>
  <sheetData>
    <row r="1" spans="1:5" s="2" customFormat="1" ht="15">
      <c r="A1" s="230" t="s">
        <v>0</v>
      </c>
      <c r="B1" s="230"/>
      <c r="C1" s="1" t="s">
        <v>200</v>
      </c>
      <c r="D1" s="1"/>
      <c r="E1" s="1"/>
    </row>
    <row r="2" spans="1:5" s="2" customFormat="1" ht="15">
      <c r="A2" s="60"/>
      <c r="B2" s="60"/>
      <c r="C2" s="1"/>
      <c r="D2" s="1"/>
      <c r="E2" s="1"/>
    </row>
    <row r="3" spans="1:7" s="2" customFormat="1" ht="15">
      <c r="A3" s="230" t="s">
        <v>8</v>
      </c>
      <c r="B3" s="230"/>
      <c r="C3" s="230"/>
      <c r="D3" s="230"/>
      <c r="E3" s="230"/>
      <c r="F3" s="3" t="s">
        <v>49</v>
      </c>
      <c r="G3" s="1"/>
    </row>
    <row r="4" s="2" customFormat="1" ht="15">
      <c r="A4" s="53"/>
    </row>
    <row r="5" spans="1:8" s="2" customFormat="1" ht="18.75">
      <c r="A5" s="231" t="s">
        <v>182</v>
      </c>
      <c r="B5" s="231"/>
      <c r="C5" s="231"/>
      <c r="D5" s="231"/>
      <c r="E5" s="231"/>
      <c r="F5" s="231"/>
      <c r="G5" s="231"/>
      <c r="H5" s="231"/>
    </row>
    <row r="6" spans="1:8" s="2" customFormat="1" ht="15">
      <c r="A6" s="214" t="s">
        <v>149</v>
      </c>
      <c r="B6" s="214"/>
      <c r="C6" s="214"/>
      <c r="D6" s="214"/>
      <c r="E6" s="214"/>
      <c r="F6" s="214"/>
      <c r="G6" s="214"/>
      <c r="H6" s="214"/>
    </row>
    <row r="7" spans="1:6" s="2" customFormat="1" ht="15">
      <c r="A7" s="53"/>
      <c r="B7" s="4" t="s">
        <v>2</v>
      </c>
      <c r="C7" s="4"/>
      <c r="D7" s="5" t="s">
        <v>183</v>
      </c>
      <c r="E7" s="4"/>
      <c r="F7" s="4"/>
    </row>
    <row r="8" s="2" customFormat="1" ht="7.5" customHeight="1">
      <c r="A8" s="53"/>
    </row>
    <row r="9" spans="1:9" s="2" customFormat="1" ht="15">
      <c r="A9" s="148" t="s">
        <v>23</v>
      </c>
      <c r="B9" s="148"/>
      <c r="C9" s="148"/>
      <c r="D9" s="148"/>
      <c r="E9" s="148"/>
      <c r="F9" s="148"/>
      <c r="G9" s="148"/>
      <c r="H9" s="7" t="s">
        <v>50</v>
      </c>
      <c r="I9" s="7"/>
    </row>
    <row r="10" spans="1:12" s="2" customFormat="1" ht="37.5" customHeight="1">
      <c r="A10" s="17" t="s">
        <v>3</v>
      </c>
      <c r="B10" s="15" t="s">
        <v>40</v>
      </c>
      <c r="C10" s="15" t="s">
        <v>5</v>
      </c>
      <c r="D10" s="15" t="s">
        <v>6</v>
      </c>
      <c r="E10" s="16" t="s">
        <v>17</v>
      </c>
      <c r="F10" s="16" t="s">
        <v>39</v>
      </c>
      <c r="G10" s="15" t="s">
        <v>18</v>
      </c>
      <c r="H10" s="15" t="s">
        <v>7</v>
      </c>
      <c r="L10" s="6"/>
    </row>
    <row r="11" spans="1:8" s="2" customFormat="1" ht="28.5" customHeight="1">
      <c r="A11" s="17" t="s">
        <v>24</v>
      </c>
      <c r="B11" s="18" t="s">
        <v>13</v>
      </c>
      <c r="C11" s="15" t="s">
        <v>16</v>
      </c>
      <c r="D11" s="19">
        <v>1</v>
      </c>
      <c r="E11" s="23">
        <v>12889.8</v>
      </c>
      <c r="F11" s="23"/>
      <c r="G11" s="23">
        <f aca="true" t="shared" si="0" ref="G11:G23">E11+F11</f>
        <v>12889.8</v>
      </c>
      <c r="H11" s="19"/>
    </row>
    <row r="12" spans="1:8" s="2" customFormat="1" ht="28.5" customHeight="1">
      <c r="A12" s="17" t="s">
        <v>25</v>
      </c>
      <c r="B12" s="18" t="s">
        <v>14</v>
      </c>
      <c r="C12" s="15" t="s">
        <v>16</v>
      </c>
      <c r="D12" s="19">
        <v>1</v>
      </c>
      <c r="E12" s="23">
        <v>5077.8</v>
      </c>
      <c r="F12" s="23">
        <v>313</v>
      </c>
      <c r="G12" s="23">
        <f t="shared" si="0"/>
        <v>5390.8</v>
      </c>
      <c r="H12" s="19"/>
    </row>
    <row r="13" spans="1:8" s="2" customFormat="1" ht="28.5" customHeight="1">
      <c r="A13" s="17" t="s">
        <v>26</v>
      </c>
      <c r="B13" s="18" t="s">
        <v>22</v>
      </c>
      <c r="C13" s="15" t="s">
        <v>16</v>
      </c>
      <c r="D13" s="19">
        <v>1</v>
      </c>
      <c r="E13" s="23">
        <v>0</v>
      </c>
      <c r="F13" s="23"/>
      <c r="G13" s="23">
        <f t="shared" si="0"/>
        <v>0</v>
      </c>
      <c r="H13" s="19"/>
    </row>
    <row r="14" spans="1:8" s="2" customFormat="1" ht="15">
      <c r="A14" s="17" t="s">
        <v>27</v>
      </c>
      <c r="B14" s="155" t="s">
        <v>129</v>
      </c>
      <c r="C14" s="158"/>
      <c r="D14" s="158"/>
      <c r="E14" s="158"/>
      <c r="F14" s="158">
        <v>124</v>
      </c>
      <c r="G14" s="23">
        <f t="shared" si="0"/>
        <v>124</v>
      </c>
      <c r="H14" s="19"/>
    </row>
    <row r="15" spans="1:8" s="2" customFormat="1" ht="15">
      <c r="A15" s="17" t="s">
        <v>28</v>
      </c>
      <c r="B15" s="18" t="s">
        <v>21</v>
      </c>
      <c r="C15" s="15" t="s">
        <v>16</v>
      </c>
      <c r="D15" s="19">
        <v>1</v>
      </c>
      <c r="E15" s="24">
        <v>25378.66</v>
      </c>
      <c r="F15" s="23"/>
      <c r="G15" s="23">
        <f t="shared" si="0"/>
        <v>25378.66</v>
      </c>
      <c r="H15" s="19"/>
    </row>
    <row r="16" spans="1:11" s="2" customFormat="1" ht="15">
      <c r="A16" s="17" t="s">
        <v>29</v>
      </c>
      <c r="B16" s="18" t="s">
        <v>19</v>
      </c>
      <c r="C16" s="15" t="s">
        <v>16</v>
      </c>
      <c r="D16" s="19">
        <v>1</v>
      </c>
      <c r="E16" s="20">
        <v>14415.31</v>
      </c>
      <c r="F16" s="23"/>
      <c r="G16" s="23">
        <f t="shared" si="0"/>
        <v>14415.31</v>
      </c>
      <c r="H16" s="19"/>
      <c r="K16" s="2" t="s">
        <v>97</v>
      </c>
    </row>
    <row r="17" spans="1:8" s="2" customFormat="1" ht="15">
      <c r="A17" s="17" t="s">
        <v>30</v>
      </c>
      <c r="B17" s="18" t="s">
        <v>20</v>
      </c>
      <c r="C17" s="15" t="s">
        <v>16</v>
      </c>
      <c r="D17" s="19">
        <v>1</v>
      </c>
      <c r="E17" s="23">
        <v>827.84</v>
      </c>
      <c r="F17" s="23"/>
      <c r="G17" s="23">
        <f t="shared" si="0"/>
        <v>827.84</v>
      </c>
      <c r="H17" s="19"/>
    </row>
    <row r="18" spans="1:8" s="2" customFormat="1" ht="15">
      <c r="A18" s="17" t="s">
        <v>31</v>
      </c>
      <c r="B18" s="18" t="s">
        <v>51</v>
      </c>
      <c r="C18" s="15" t="s">
        <v>16</v>
      </c>
      <c r="D18" s="19">
        <v>1</v>
      </c>
      <c r="E18" s="23"/>
      <c r="F18" s="23"/>
      <c r="G18" s="23">
        <f t="shared" si="0"/>
        <v>0</v>
      </c>
      <c r="H18" s="19"/>
    </row>
    <row r="19" spans="1:8" s="2" customFormat="1" ht="15">
      <c r="A19" s="17" t="s">
        <v>134</v>
      </c>
      <c r="B19" s="18" t="s">
        <v>52</v>
      </c>
      <c r="C19" s="15" t="s">
        <v>16</v>
      </c>
      <c r="D19" s="19">
        <v>1</v>
      </c>
      <c r="E19" s="23">
        <v>3053</v>
      </c>
      <c r="F19" s="23"/>
      <c r="G19" s="23">
        <f t="shared" si="0"/>
        <v>3053</v>
      </c>
      <c r="H19" s="19"/>
    </row>
    <row r="20" spans="1:8" s="2" customFormat="1" ht="15">
      <c r="A20" s="17" t="s">
        <v>135</v>
      </c>
      <c r="B20" s="33" t="s">
        <v>105</v>
      </c>
      <c r="C20" s="15" t="s">
        <v>16</v>
      </c>
      <c r="D20" s="19">
        <v>1</v>
      </c>
      <c r="E20" s="23">
        <v>1114.77</v>
      </c>
      <c r="F20" s="23"/>
      <c r="G20" s="23">
        <f t="shared" si="0"/>
        <v>1114.77</v>
      </c>
      <c r="H20" s="19"/>
    </row>
    <row r="21" spans="1:8" s="2" customFormat="1" ht="15">
      <c r="A21" s="17" t="s">
        <v>189</v>
      </c>
      <c r="B21" s="33" t="s">
        <v>106</v>
      </c>
      <c r="C21" s="15" t="s">
        <v>16</v>
      </c>
      <c r="D21" s="19">
        <v>1</v>
      </c>
      <c r="E21" s="23"/>
      <c r="F21" s="23"/>
      <c r="G21" s="23">
        <f t="shared" si="0"/>
        <v>0</v>
      </c>
      <c r="H21" s="19"/>
    </row>
    <row r="22" spans="1:8" s="2" customFormat="1" ht="15">
      <c r="A22" s="17" t="s">
        <v>190</v>
      </c>
      <c r="B22" s="33" t="s">
        <v>109</v>
      </c>
      <c r="C22" s="15" t="s">
        <v>16</v>
      </c>
      <c r="D22" s="19">
        <v>1</v>
      </c>
      <c r="E22" s="23"/>
      <c r="F22" s="23"/>
      <c r="G22" s="23">
        <f t="shared" si="0"/>
        <v>0</v>
      </c>
      <c r="H22" s="19"/>
    </row>
    <row r="23" spans="1:8" s="2" customFormat="1" ht="15">
      <c r="A23" s="17" t="s">
        <v>191</v>
      </c>
      <c r="B23" s="33" t="s">
        <v>107</v>
      </c>
      <c r="C23" s="15" t="s">
        <v>16</v>
      </c>
      <c r="D23" s="19">
        <v>1</v>
      </c>
      <c r="E23" s="23"/>
      <c r="F23" s="23"/>
      <c r="G23" s="23">
        <f t="shared" si="0"/>
        <v>0</v>
      </c>
      <c r="H23" s="19"/>
    </row>
    <row r="24" spans="1:8" s="2" customFormat="1" ht="15">
      <c r="A24" s="17" t="s">
        <v>192</v>
      </c>
      <c r="B24" s="18" t="s">
        <v>48</v>
      </c>
      <c r="C24" s="15"/>
      <c r="D24" s="19"/>
      <c r="E24" s="23">
        <f>E25+E26</f>
        <v>0</v>
      </c>
      <c r="F24" s="23">
        <f>F25+F26</f>
        <v>0</v>
      </c>
      <c r="G24" s="23">
        <f>G25+G26</f>
        <v>0</v>
      </c>
      <c r="H24" s="19"/>
    </row>
    <row r="25" spans="1:8" s="4" customFormat="1" ht="15">
      <c r="A25" s="55"/>
      <c r="B25" s="34"/>
      <c r="C25" s="160"/>
      <c r="D25" s="35"/>
      <c r="E25" s="36"/>
      <c r="F25" s="36"/>
      <c r="G25" s="36">
        <f>E25+F25</f>
        <v>0</v>
      </c>
      <c r="H25" s="35"/>
    </row>
    <row r="26" spans="1:8" s="4" customFormat="1" ht="15">
      <c r="A26" s="55"/>
      <c r="B26" s="34"/>
      <c r="C26" s="160" t="s">
        <v>9</v>
      </c>
      <c r="D26" s="35"/>
      <c r="E26" s="161"/>
      <c r="F26" s="36"/>
      <c r="G26" s="36">
        <f>E26+F26</f>
        <v>0</v>
      </c>
      <c r="H26" s="35"/>
    </row>
    <row r="27" spans="1:8" s="2" customFormat="1" ht="17.25" customHeight="1">
      <c r="A27" s="61" t="s">
        <v>33</v>
      </c>
      <c r="B27" s="62"/>
      <c r="C27" s="170"/>
      <c r="D27" s="135"/>
      <c r="E27" s="171">
        <f>E11+E12+E13+E14+E15+E16+E17+E18+E19+E24+E20+E21+E22+E23</f>
        <v>62757.179999999986</v>
      </c>
      <c r="F27" s="171">
        <f>F11+F12+F13+F14+F15+F16+F17+F18+F19+F24+F20+F21+F22+F23</f>
        <v>437</v>
      </c>
      <c r="G27" s="171">
        <f>G11+G12+G13+G14+G15+G16+G17+G18+G19+G24+G20+G21+G22+G23</f>
        <v>63194.179999999986</v>
      </c>
      <c r="H27" s="41"/>
    </row>
    <row r="28" s="2" customFormat="1" ht="8.25" customHeight="1">
      <c r="A28" s="53"/>
    </row>
    <row r="29" spans="1:8" s="2" customFormat="1" ht="15">
      <c r="A29" s="148" t="s">
        <v>32</v>
      </c>
      <c r="B29" s="148"/>
      <c r="C29" s="148"/>
      <c r="D29" s="148"/>
      <c r="E29" s="148"/>
      <c r="F29" s="148"/>
      <c r="G29" s="148"/>
      <c r="H29" s="148"/>
    </row>
    <row r="30" spans="1:8" s="2" customFormat="1" ht="36.75" customHeight="1">
      <c r="A30" s="17" t="s">
        <v>3</v>
      </c>
      <c r="B30" s="15" t="s">
        <v>40</v>
      </c>
      <c r="C30" s="15" t="s">
        <v>5</v>
      </c>
      <c r="D30" s="15" t="s">
        <v>6</v>
      </c>
      <c r="E30" s="16" t="s">
        <v>17</v>
      </c>
      <c r="F30" s="16" t="s">
        <v>39</v>
      </c>
      <c r="G30" s="15" t="s">
        <v>18</v>
      </c>
      <c r="H30" s="15" t="s">
        <v>7</v>
      </c>
    </row>
    <row r="31" spans="1:8" s="2" customFormat="1" ht="25.5" customHeight="1">
      <c r="A31" s="17" t="s">
        <v>34</v>
      </c>
      <c r="B31" s="18" t="s">
        <v>150</v>
      </c>
      <c r="C31" s="15" t="s">
        <v>16</v>
      </c>
      <c r="D31" s="19">
        <v>1</v>
      </c>
      <c r="E31" s="23">
        <v>20744.02</v>
      </c>
      <c r="F31" s="23">
        <v>652</v>
      </c>
      <c r="G31" s="23">
        <f aca="true" t="shared" si="1" ref="G31:G37">E31+F31</f>
        <v>21396.02</v>
      </c>
      <c r="H31" s="19"/>
    </row>
    <row r="32" spans="1:8" s="2" customFormat="1" ht="26.25" customHeight="1">
      <c r="A32" s="17" t="s">
        <v>35</v>
      </c>
      <c r="B32" s="18" t="s">
        <v>151</v>
      </c>
      <c r="C32" s="15" t="s">
        <v>16</v>
      </c>
      <c r="D32" s="19">
        <v>1</v>
      </c>
      <c r="E32" s="23">
        <v>3996.05</v>
      </c>
      <c r="F32" s="23">
        <v>540</v>
      </c>
      <c r="G32" s="23">
        <f t="shared" si="1"/>
        <v>4536.05</v>
      </c>
      <c r="H32" s="19"/>
    </row>
    <row r="33" spans="1:8" s="2" customFormat="1" ht="15">
      <c r="A33" s="17" t="s">
        <v>36</v>
      </c>
      <c r="B33" s="155" t="s">
        <v>129</v>
      </c>
      <c r="C33" s="15"/>
      <c r="D33" s="19"/>
      <c r="E33" s="23"/>
      <c r="F33" s="23">
        <v>66</v>
      </c>
      <c r="G33" s="23">
        <f t="shared" si="1"/>
        <v>66</v>
      </c>
      <c r="H33" s="19"/>
    </row>
    <row r="34" spans="1:8" s="2" customFormat="1" ht="15">
      <c r="A34" s="17" t="s">
        <v>37</v>
      </c>
      <c r="B34" s="18" t="s">
        <v>53</v>
      </c>
      <c r="C34" s="15" t="s">
        <v>16</v>
      </c>
      <c r="D34" s="19">
        <v>1</v>
      </c>
      <c r="E34" s="23"/>
      <c r="F34" s="23"/>
      <c r="G34" s="23">
        <f t="shared" si="1"/>
        <v>0</v>
      </c>
      <c r="H34" s="19"/>
    </row>
    <row r="35" spans="1:8" s="2" customFormat="1" ht="15">
      <c r="A35" s="17" t="s">
        <v>137</v>
      </c>
      <c r="B35" s="18" t="s">
        <v>48</v>
      </c>
      <c r="C35" s="15" t="s">
        <v>9</v>
      </c>
      <c r="D35" s="19">
        <v>1</v>
      </c>
      <c r="E35" s="23">
        <f>E36+E37</f>
        <v>0</v>
      </c>
      <c r="F35" s="23">
        <f>F36+F37</f>
        <v>0</v>
      </c>
      <c r="G35" s="23">
        <f t="shared" si="1"/>
        <v>0</v>
      </c>
      <c r="H35" s="19"/>
    </row>
    <row r="36" spans="1:8" s="4" customFormat="1" ht="15">
      <c r="A36" s="55"/>
      <c r="B36" s="34"/>
      <c r="C36" s="160"/>
      <c r="D36" s="35"/>
      <c r="E36" s="36"/>
      <c r="F36" s="36"/>
      <c r="G36" s="36">
        <f t="shared" si="1"/>
        <v>0</v>
      </c>
      <c r="H36" s="35"/>
    </row>
    <row r="37" spans="1:9" s="4" customFormat="1" ht="15">
      <c r="A37" s="55"/>
      <c r="B37" s="34"/>
      <c r="C37" s="160"/>
      <c r="D37" s="35"/>
      <c r="E37" s="36"/>
      <c r="F37" s="36"/>
      <c r="G37" s="36">
        <f t="shared" si="1"/>
        <v>0</v>
      </c>
      <c r="H37" s="35"/>
      <c r="I37" s="4" t="s">
        <v>97</v>
      </c>
    </row>
    <row r="38" spans="1:8" s="2" customFormat="1" ht="15">
      <c r="A38" s="227" t="s">
        <v>10</v>
      </c>
      <c r="B38" s="228"/>
      <c r="C38" s="229"/>
      <c r="D38" s="41"/>
      <c r="E38" s="171">
        <f>E31+E32+E33+E34+E35</f>
        <v>24740.07</v>
      </c>
      <c r="F38" s="171">
        <f>F31+F32+F33+F34+F35</f>
        <v>1258</v>
      </c>
      <c r="G38" s="171">
        <f>G31+G32+G33+G34+G35</f>
        <v>25998.07</v>
      </c>
      <c r="H38" s="41"/>
    </row>
    <row r="39" s="2" customFormat="1" ht="9.75" customHeight="1">
      <c r="A39" s="53"/>
    </row>
    <row r="40" spans="1:8" s="2" customFormat="1" ht="15">
      <c r="A40" s="219" t="s">
        <v>38</v>
      </c>
      <c r="B40" s="219"/>
      <c r="C40" s="219"/>
      <c r="D40" s="219"/>
      <c r="E40" s="219"/>
      <c r="F40" s="219"/>
      <c r="G40" s="219"/>
      <c r="H40" s="219"/>
    </row>
    <row r="41" spans="1:8" s="2" customFormat="1" ht="36" customHeight="1">
      <c r="A41" s="17" t="s">
        <v>3</v>
      </c>
      <c r="B41" s="15" t="s">
        <v>40</v>
      </c>
      <c r="C41" s="15" t="s">
        <v>5</v>
      </c>
      <c r="D41" s="15" t="s">
        <v>6</v>
      </c>
      <c r="E41" s="16" t="s">
        <v>17</v>
      </c>
      <c r="F41" s="16" t="s">
        <v>39</v>
      </c>
      <c r="G41" s="15" t="s">
        <v>18</v>
      </c>
      <c r="H41" s="15" t="s">
        <v>7</v>
      </c>
    </row>
    <row r="42" spans="1:8" s="2" customFormat="1" ht="26.25" customHeight="1">
      <c r="A42" s="17" t="s">
        <v>42</v>
      </c>
      <c r="B42" s="18" t="s">
        <v>153</v>
      </c>
      <c r="C42" s="15" t="s">
        <v>16</v>
      </c>
      <c r="D42" s="15">
        <v>1</v>
      </c>
      <c r="E42" s="25">
        <v>2446.63</v>
      </c>
      <c r="F42" s="25"/>
      <c r="G42" s="26">
        <f>E42+F42</f>
        <v>2446.63</v>
      </c>
      <c r="H42" s="19"/>
    </row>
    <row r="43" spans="1:8" s="2" customFormat="1" ht="15">
      <c r="A43" s="17"/>
      <c r="B43" s="155" t="s">
        <v>129</v>
      </c>
      <c r="C43" s="15"/>
      <c r="D43" s="15"/>
      <c r="E43" s="25"/>
      <c r="F43" s="25"/>
      <c r="G43" s="26">
        <f>E43+F43</f>
        <v>0</v>
      </c>
      <c r="H43" s="19"/>
    </row>
    <row r="44" spans="1:8" s="2" customFormat="1" ht="15">
      <c r="A44" s="17" t="s">
        <v>43</v>
      </c>
      <c r="B44" s="18" t="s">
        <v>48</v>
      </c>
      <c r="C44" s="15"/>
      <c r="D44" s="15"/>
      <c r="E44" s="25"/>
      <c r="F44" s="25"/>
      <c r="G44" s="26">
        <f>E44+F44</f>
        <v>0</v>
      </c>
      <c r="H44" s="19"/>
    </row>
    <row r="45" spans="1:11" s="2" customFormat="1" ht="15">
      <c r="A45" s="17"/>
      <c r="B45" s="18"/>
      <c r="C45" s="15"/>
      <c r="D45" s="19"/>
      <c r="E45" s="23"/>
      <c r="F45" s="26"/>
      <c r="G45" s="37">
        <f>E45+F45</f>
        <v>0</v>
      </c>
      <c r="H45" s="19"/>
      <c r="K45" s="12">
        <f>F27+F38+F47</f>
        <v>1695</v>
      </c>
    </row>
    <row r="46" spans="1:8" s="2" customFormat="1" ht="15">
      <c r="A46" s="17"/>
      <c r="B46" s="18"/>
      <c r="C46" s="19"/>
      <c r="D46" s="19"/>
      <c r="E46" s="23"/>
      <c r="F46" s="26"/>
      <c r="G46" s="37">
        <f>E46+F46</f>
        <v>0</v>
      </c>
      <c r="H46" s="19"/>
    </row>
    <row r="47" spans="1:8" s="2" customFormat="1" ht="15">
      <c r="A47" s="211" t="s">
        <v>41</v>
      </c>
      <c r="B47" s="212"/>
      <c r="C47" s="213"/>
      <c r="D47" s="41"/>
      <c r="E47" s="42">
        <f>SUM(E42:E46)</f>
        <v>2446.63</v>
      </c>
      <c r="F47" s="44">
        <f>SUM(F42:F44)</f>
        <v>0</v>
      </c>
      <c r="G47" s="42">
        <f>SUM(G42:G46)</f>
        <v>2446.63</v>
      </c>
      <c r="H47" s="41"/>
    </row>
    <row r="48" spans="1:8" s="2" customFormat="1" ht="7.5" customHeight="1">
      <c r="A48" s="54"/>
      <c r="B48" s="8"/>
      <c r="C48" s="8"/>
      <c r="D48" s="9"/>
      <c r="E48" s="9"/>
      <c r="F48" s="10"/>
      <c r="G48" s="9"/>
      <c r="H48" s="11"/>
    </row>
    <row r="49" spans="1:8" s="7" customFormat="1" ht="15" customHeight="1">
      <c r="A49" s="219" t="s">
        <v>154</v>
      </c>
      <c r="B49" s="219"/>
      <c r="C49" s="219"/>
      <c r="D49" s="219"/>
      <c r="E49" s="219"/>
      <c r="F49" s="219"/>
      <c r="G49" s="219"/>
      <c r="H49" s="58"/>
    </row>
    <row r="50" spans="1:7" s="2" customFormat="1" ht="24.75">
      <c r="A50" s="17" t="s">
        <v>3</v>
      </c>
      <c r="B50" s="15" t="s">
        <v>4</v>
      </c>
      <c r="C50" s="15" t="s">
        <v>5</v>
      </c>
      <c r="D50" s="15" t="s">
        <v>6</v>
      </c>
      <c r="E50" s="16" t="s">
        <v>45</v>
      </c>
      <c r="F50" s="220" t="s">
        <v>46</v>
      </c>
      <c r="G50" s="221"/>
    </row>
    <row r="51" spans="1:7" s="2" customFormat="1" ht="25.5" customHeight="1">
      <c r="A51" s="17" t="s">
        <v>67</v>
      </c>
      <c r="B51" s="27" t="s">
        <v>152</v>
      </c>
      <c r="C51" s="29" t="s">
        <v>16</v>
      </c>
      <c r="D51" s="28">
        <v>1</v>
      </c>
      <c r="E51" s="30">
        <f>5883.8*2.274</f>
        <v>13379.7612</v>
      </c>
      <c r="F51" s="30"/>
      <c r="G51" s="30"/>
    </row>
    <row r="52" spans="1:7" s="2" customFormat="1" ht="15">
      <c r="A52" s="17" t="s">
        <v>68</v>
      </c>
      <c r="B52" s="28" t="s">
        <v>54</v>
      </c>
      <c r="C52" s="29" t="s">
        <v>16</v>
      </c>
      <c r="D52" s="28">
        <v>1</v>
      </c>
      <c r="E52" s="30">
        <f>5883.8*0.4</f>
        <v>2353.52</v>
      </c>
      <c r="F52" s="30"/>
      <c r="G52" s="30"/>
    </row>
    <row r="53" spans="1:7" s="2" customFormat="1" ht="15">
      <c r="A53" s="17" t="s">
        <v>69</v>
      </c>
      <c r="B53" s="28" t="s">
        <v>55</v>
      </c>
      <c r="C53" s="29" t="s">
        <v>16</v>
      </c>
      <c r="D53" s="28">
        <v>1</v>
      </c>
      <c r="E53" s="30">
        <f>5883.8*0.21</f>
        <v>1235.598</v>
      </c>
      <c r="F53" s="30"/>
      <c r="G53" s="30"/>
    </row>
    <row r="54" spans="1:7" s="2" customFormat="1" ht="15">
      <c r="A54" s="17" t="s">
        <v>70</v>
      </c>
      <c r="B54" s="28" t="s">
        <v>56</v>
      </c>
      <c r="C54" s="29" t="s">
        <v>16</v>
      </c>
      <c r="D54" s="28">
        <v>1</v>
      </c>
      <c r="E54" s="30">
        <v>1753.02</v>
      </c>
      <c r="F54" s="30"/>
      <c r="G54" s="30"/>
    </row>
    <row r="55" spans="1:7" s="2" customFormat="1" ht="15">
      <c r="A55" s="17" t="s">
        <v>72</v>
      </c>
      <c r="B55" s="18" t="s">
        <v>75</v>
      </c>
      <c r="C55" s="29" t="s">
        <v>16</v>
      </c>
      <c r="D55" s="28">
        <v>1</v>
      </c>
      <c r="E55" s="30">
        <f>E56+E57+E58+E59+E60+E61+E62+E63+E64</f>
        <v>3961.6</v>
      </c>
      <c r="F55" s="30"/>
      <c r="G55" s="30"/>
    </row>
    <row r="56" spans="1:7" s="4" customFormat="1" ht="15">
      <c r="A56" s="55"/>
      <c r="B56" s="34" t="s">
        <v>64</v>
      </c>
      <c r="C56" s="29" t="s">
        <v>16</v>
      </c>
      <c r="D56" s="28">
        <v>1</v>
      </c>
      <c r="E56" s="36">
        <v>619.97</v>
      </c>
      <c r="F56" s="37"/>
      <c r="G56" s="36"/>
    </row>
    <row r="57" spans="1:11" s="4" customFormat="1" ht="15">
      <c r="A57" s="55"/>
      <c r="B57" s="34" t="s">
        <v>65</v>
      </c>
      <c r="C57" s="29" t="s">
        <v>16</v>
      </c>
      <c r="D57" s="28">
        <v>1</v>
      </c>
      <c r="E57" s="36">
        <v>351.7</v>
      </c>
      <c r="F57" s="37"/>
      <c r="G57" s="36"/>
      <c r="J57" s="38"/>
      <c r="K57" s="39"/>
    </row>
    <row r="58" spans="1:7" s="4" customFormat="1" ht="24.75">
      <c r="A58" s="55"/>
      <c r="B58" s="34" t="s">
        <v>66</v>
      </c>
      <c r="C58" s="29" t="s">
        <v>16</v>
      </c>
      <c r="D58" s="28">
        <v>1</v>
      </c>
      <c r="E58" s="36">
        <f>810.74+558.8</f>
        <v>1369.54</v>
      </c>
      <c r="F58" s="37"/>
      <c r="G58" s="36"/>
    </row>
    <row r="59" spans="1:7" s="4" customFormat="1" ht="15">
      <c r="A59" s="55"/>
      <c r="B59" s="34" t="s">
        <v>71</v>
      </c>
      <c r="C59" s="29" t="s">
        <v>16</v>
      </c>
      <c r="D59" s="28">
        <v>1</v>
      </c>
      <c r="E59" s="35">
        <v>865.79</v>
      </c>
      <c r="F59" s="40"/>
      <c r="G59" s="35"/>
    </row>
    <row r="60" spans="1:7" s="4" customFormat="1" ht="15">
      <c r="A60" s="55"/>
      <c r="B60" s="34" t="s">
        <v>76</v>
      </c>
      <c r="C60" s="29" t="s">
        <v>16</v>
      </c>
      <c r="D60" s="28">
        <v>1</v>
      </c>
      <c r="E60" s="35"/>
      <c r="F60" s="40"/>
      <c r="G60" s="35"/>
    </row>
    <row r="61" spans="1:7" s="4" customFormat="1" ht="15">
      <c r="A61" s="55"/>
      <c r="B61" s="34" t="s">
        <v>74</v>
      </c>
      <c r="C61" s="29" t="s">
        <v>16</v>
      </c>
      <c r="D61" s="28">
        <v>1</v>
      </c>
      <c r="E61" s="35">
        <v>687.81</v>
      </c>
      <c r="F61" s="40"/>
      <c r="G61" s="35"/>
    </row>
    <row r="62" spans="1:7" s="4" customFormat="1" ht="15">
      <c r="A62" s="55"/>
      <c r="B62" s="34" t="s">
        <v>77</v>
      </c>
      <c r="C62" s="29" t="s">
        <v>16</v>
      </c>
      <c r="D62" s="28">
        <v>1</v>
      </c>
      <c r="E62" s="35">
        <v>66.79</v>
      </c>
      <c r="F62" s="40"/>
      <c r="G62" s="35"/>
    </row>
    <row r="63" spans="1:7" s="4" customFormat="1" ht="15">
      <c r="A63" s="55"/>
      <c r="B63" s="34" t="s">
        <v>78</v>
      </c>
      <c r="C63" s="29" t="s">
        <v>16</v>
      </c>
      <c r="D63" s="28">
        <v>1</v>
      </c>
      <c r="E63" s="35"/>
      <c r="F63" s="40"/>
      <c r="G63" s="35"/>
    </row>
    <row r="64" spans="1:9" s="4" customFormat="1" ht="15">
      <c r="A64" s="55"/>
      <c r="B64" s="34"/>
      <c r="C64" s="35"/>
      <c r="D64" s="35"/>
      <c r="E64" s="35"/>
      <c r="F64" s="40"/>
      <c r="G64" s="35"/>
      <c r="I64" s="39"/>
    </row>
    <row r="65" spans="1:7" s="2" customFormat="1" ht="15">
      <c r="A65" s="180" t="s">
        <v>155</v>
      </c>
      <c r="B65" s="181"/>
      <c r="C65" s="182"/>
      <c r="D65" s="41"/>
      <c r="E65" s="42">
        <f>E51+E52+E53+E54+E55</f>
        <v>22683.499200000002</v>
      </c>
      <c r="F65" s="43"/>
      <c r="G65" s="41"/>
    </row>
    <row r="66" spans="1:7" s="52" customFormat="1" ht="25.5">
      <c r="A66" s="56" t="s">
        <v>156</v>
      </c>
      <c r="B66" s="47" t="s">
        <v>57</v>
      </c>
      <c r="C66" s="48" t="s">
        <v>16</v>
      </c>
      <c r="D66" s="49">
        <v>1</v>
      </c>
      <c r="E66" s="51">
        <v>4448.5</v>
      </c>
      <c r="F66" s="50"/>
      <c r="G66" s="51"/>
    </row>
    <row r="67" spans="1:7" s="46" customFormat="1" ht="15" customHeight="1">
      <c r="A67" s="222" t="s">
        <v>157</v>
      </c>
      <c r="B67" s="223"/>
      <c r="C67" s="223"/>
      <c r="D67" s="223"/>
      <c r="E67" s="223"/>
      <c r="F67" s="223"/>
      <c r="G67" s="224"/>
    </row>
    <row r="68" spans="1:7" s="2" customFormat="1" ht="33.75" customHeight="1">
      <c r="A68" s="17" t="s">
        <v>3</v>
      </c>
      <c r="B68" s="15" t="s">
        <v>4</v>
      </c>
      <c r="C68" s="15" t="s">
        <v>5</v>
      </c>
      <c r="D68" s="15" t="s">
        <v>6</v>
      </c>
      <c r="E68" s="16" t="s">
        <v>45</v>
      </c>
      <c r="F68" s="220" t="s">
        <v>46</v>
      </c>
      <c r="G68" s="221"/>
    </row>
    <row r="69" spans="1:7" s="2" customFormat="1" ht="25.5" customHeight="1">
      <c r="A69" s="17"/>
      <c r="B69" s="33" t="s">
        <v>58</v>
      </c>
      <c r="C69" s="29" t="s">
        <v>16</v>
      </c>
      <c r="D69" s="28">
        <v>1</v>
      </c>
      <c r="E69" s="30">
        <v>42102.71</v>
      </c>
      <c r="F69" s="30"/>
      <c r="G69" s="30"/>
    </row>
    <row r="70" spans="1:7" s="2" customFormat="1" ht="15">
      <c r="A70" s="17"/>
      <c r="B70" s="33" t="s">
        <v>59</v>
      </c>
      <c r="C70" s="29" t="s">
        <v>16</v>
      </c>
      <c r="D70" s="28">
        <v>1</v>
      </c>
      <c r="E70" s="30">
        <v>6883.31</v>
      </c>
      <c r="F70" s="30"/>
      <c r="G70" s="30"/>
    </row>
    <row r="71" spans="1:7" s="2" customFormat="1" ht="15">
      <c r="A71" s="17"/>
      <c r="B71" s="33" t="s">
        <v>60</v>
      </c>
      <c r="C71" s="29" t="s">
        <v>16</v>
      </c>
      <c r="D71" s="28">
        <v>1</v>
      </c>
      <c r="E71" s="30">
        <v>25952.41</v>
      </c>
      <c r="F71" s="30"/>
      <c r="G71" s="30"/>
    </row>
    <row r="72" spans="1:7" s="2" customFormat="1" ht="15">
      <c r="A72" s="17"/>
      <c r="B72" s="33" t="s">
        <v>61</v>
      </c>
      <c r="C72" s="29" t="s">
        <v>16</v>
      </c>
      <c r="D72" s="28">
        <v>1</v>
      </c>
      <c r="E72" s="30">
        <v>11015.68</v>
      </c>
      <c r="F72" s="30"/>
      <c r="G72" s="30"/>
    </row>
    <row r="73" spans="1:9" s="2" customFormat="1" ht="15">
      <c r="A73" s="17"/>
      <c r="B73" s="33" t="s">
        <v>62</v>
      </c>
      <c r="C73" s="29" t="s">
        <v>16</v>
      </c>
      <c r="D73" s="19">
        <v>1</v>
      </c>
      <c r="E73" s="30">
        <v>13998.23</v>
      </c>
      <c r="F73" s="26"/>
      <c r="G73" s="23"/>
      <c r="I73" s="13">
        <f>E72+E73</f>
        <v>25013.91</v>
      </c>
    </row>
    <row r="74" spans="1:7" s="2" customFormat="1" ht="15">
      <c r="A74" s="17"/>
      <c r="B74" s="18"/>
      <c r="C74" s="29"/>
      <c r="D74" s="28"/>
      <c r="E74" s="30"/>
      <c r="F74" s="30"/>
      <c r="G74" s="30"/>
    </row>
    <row r="75" spans="1:7" s="2" customFormat="1" ht="15">
      <c r="A75" s="215" t="s">
        <v>63</v>
      </c>
      <c r="B75" s="216"/>
      <c r="C75" s="217"/>
      <c r="D75" s="19"/>
      <c r="E75" s="30">
        <f>SUM(E69:E74)</f>
        <v>99952.33999999998</v>
      </c>
      <c r="F75" s="21"/>
      <c r="G75" s="19"/>
    </row>
    <row r="76" spans="1:7" s="2" customFormat="1" ht="15">
      <c r="A76" s="54"/>
      <c r="B76" s="8"/>
      <c r="C76" s="8"/>
      <c r="D76" s="31"/>
      <c r="E76" s="45"/>
      <c r="F76" s="32"/>
      <c r="G76" s="31"/>
    </row>
    <row r="77" spans="1:7" s="2" customFormat="1" ht="15">
      <c r="A77" s="54"/>
      <c r="B77" s="8"/>
      <c r="C77" s="8"/>
      <c r="D77" s="31"/>
      <c r="E77" s="45"/>
      <c r="F77" s="32"/>
      <c r="G77" s="31"/>
    </row>
    <row r="78" spans="1:7" s="2" customFormat="1" ht="15">
      <c r="A78" s="54"/>
      <c r="B78" s="8"/>
      <c r="C78" s="8"/>
      <c r="D78" s="31"/>
      <c r="E78" s="45"/>
      <c r="F78" s="32"/>
      <c r="G78" s="31"/>
    </row>
    <row r="79" spans="1:7" s="2" customFormat="1" ht="15">
      <c r="A79" s="54"/>
      <c r="B79" s="8"/>
      <c r="C79" s="8"/>
      <c r="D79" s="31"/>
      <c r="E79" s="45"/>
      <c r="F79" s="32"/>
      <c r="G79" s="31"/>
    </row>
    <row r="80" s="2" customFormat="1" ht="15">
      <c r="A80" s="53"/>
    </row>
    <row r="81" spans="1:7" s="2" customFormat="1" ht="15">
      <c r="A81" s="218" t="s">
        <v>11</v>
      </c>
      <c r="B81" s="218"/>
      <c r="C81" s="218"/>
      <c r="D81" s="218"/>
      <c r="E81" s="225">
        <f>G27+G38+G47+E65+E66+E75</f>
        <v>218723.2192</v>
      </c>
      <c r="F81" s="225"/>
      <c r="G81" s="225"/>
    </row>
    <row r="82" spans="1:7" s="2" customFormat="1" ht="15">
      <c r="A82" s="53"/>
      <c r="G82" s="13"/>
    </row>
    <row r="83" s="2" customFormat="1" ht="15">
      <c r="A83" s="53"/>
    </row>
    <row r="84" s="2" customFormat="1" ht="15">
      <c r="A84" s="53"/>
    </row>
    <row r="85" s="2" customFormat="1" ht="15">
      <c r="A85" s="53"/>
    </row>
    <row r="86" spans="1:5" s="2" customFormat="1" ht="15">
      <c r="A86" s="226" t="s">
        <v>47</v>
      </c>
      <c r="B86" s="226"/>
      <c r="E86" s="2" t="s">
        <v>12</v>
      </c>
    </row>
    <row r="87" spans="1:5" s="2" customFormat="1" ht="15">
      <c r="A87" s="226" t="s">
        <v>1</v>
      </c>
      <c r="B87" s="226"/>
      <c r="E87" s="2" t="s">
        <v>201</v>
      </c>
    </row>
    <row r="88" spans="1:5" s="2" customFormat="1" ht="30" customHeight="1">
      <c r="A88" s="214" t="s">
        <v>73</v>
      </c>
      <c r="B88" s="214"/>
      <c r="C88" s="22"/>
      <c r="E88" s="2" t="s">
        <v>202</v>
      </c>
    </row>
    <row r="89" s="2" customFormat="1" ht="15">
      <c r="A89" s="53"/>
    </row>
    <row r="90" s="2" customFormat="1" ht="15">
      <c r="A90" s="53"/>
    </row>
    <row r="91" s="2" customFormat="1" ht="15">
      <c r="A91" s="53"/>
    </row>
    <row r="92" s="2" customFormat="1" ht="15">
      <c r="A92" s="53"/>
    </row>
  </sheetData>
  <sheetProtection/>
  <mergeCells count="17">
    <mergeCell ref="A87:B87"/>
    <mergeCell ref="A88:B88"/>
    <mergeCell ref="A81:D81"/>
    <mergeCell ref="A1:B1"/>
    <mergeCell ref="A3:E3"/>
    <mergeCell ref="A5:H5"/>
    <mergeCell ref="A6:H6"/>
    <mergeCell ref="E81:G81"/>
    <mergeCell ref="A86:B86"/>
    <mergeCell ref="F50:G50"/>
    <mergeCell ref="A67:G67"/>
    <mergeCell ref="F68:G68"/>
    <mergeCell ref="A75:C75"/>
    <mergeCell ref="A38:C38"/>
    <mergeCell ref="A40:H40"/>
    <mergeCell ref="A47:C47"/>
    <mergeCell ref="A49:G49"/>
  </mergeCells>
  <printOptions/>
  <pageMargins left="0.36" right="0.31" top="0.6" bottom="0.58" header="0.36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58">
      <selection activeCell="E70" sqref="E70"/>
    </sheetView>
  </sheetViews>
  <sheetFormatPr defaultColWidth="9.140625" defaultRowHeight="15"/>
  <cols>
    <col min="1" max="1" width="5.140625" style="57" customWidth="1"/>
    <col min="2" max="2" width="34.140625" style="14" customWidth="1"/>
    <col min="3" max="3" width="7.00390625" style="14" customWidth="1"/>
    <col min="4" max="4" width="5.00390625" style="14" customWidth="1"/>
    <col min="5" max="5" width="11.421875" style="14" customWidth="1"/>
    <col min="6" max="6" width="10.57421875" style="14" customWidth="1"/>
    <col min="7" max="7" width="11.8515625" style="14" customWidth="1"/>
    <col min="8" max="8" width="10.00390625" style="14" customWidth="1"/>
    <col min="9" max="16384" width="9.140625" style="14" customWidth="1"/>
  </cols>
  <sheetData>
    <row r="1" spans="1:5" s="2" customFormat="1" ht="15">
      <c r="A1" s="230" t="s">
        <v>0</v>
      </c>
      <c r="B1" s="230"/>
      <c r="C1" s="1" t="s">
        <v>200</v>
      </c>
      <c r="D1" s="1"/>
      <c r="E1" s="1"/>
    </row>
    <row r="2" spans="1:5" s="2" customFormat="1" ht="15">
      <c r="A2" s="60"/>
      <c r="B2" s="60"/>
      <c r="C2" s="1"/>
      <c r="D2" s="1"/>
      <c r="E2" s="1"/>
    </row>
    <row r="3" spans="1:7" s="2" customFormat="1" ht="15">
      <c r="A3" s="230" t="s">
        <v>8</v>
      </c>
      <c r="B3" s="230"/>
      <c r="C3" s="230"/>
      <c r="D3" s="230"/>
      <c r="E3" s="230"/>
      <c r="F3" s="3" t="s">
        <v>49</v>
      </c>
      <c r="G3" s="1"/>
    </row>
    <row r="4" s="2" customFormat="1" ht="15">
      <c r="A4" s="53"/>
    </row>
    <row r="5" spans="1:8" s="2" customFormat="1" ht="18.75">
      <c r="A5" s="231" t="s">
        <v>184</v>
      </c>
      <c r="B5" s="231"/>
      <c r="C5" s="231"/>
      <c r="D5" s="231"/>
      <c r="E5" s="231"/>
      <c r="F5" s="231"/>
      <c r="G5" s="231"/>
      <c r="H5" s="231"/>
    </row>
    <row r="6" spans="1:8" s="2" customFormat="1" ht="15">
      <c r="A6" s="214" t="s">
        <v>149</v>
      </c>
      <c r="B6" s="214"/>
      <c r="C6" s="214"/>
      <c r="D6" s="214"/>
      <c r="E6" s="214"/>
      <c r="F6" s="214"/>
      <c r="G6" s="214"/>
      <c r="H6" s="214"/>
    </row>
    <row r="7" spans="1:6" s="2" customFormat="1" ht="15">
      <c r="A7" s="53"/>
      <c r="B7" s="4" t="s">
        <v>2</v>
      </c>
      <c r="C7" s="4"/>
      <c r="D7" s="5" t="s">
        <v>185</v>
      </c>
      <c r="E7" s="4"/>
      <c r="F7" s="4"/>
    </row>
    <row r="8" s="2" customFormat="1" ht="7.5" customHeight="1">
      <c r="A8" s="53"/>
    </row>
    <row r="9" spans="1:9" s="2" customFormat="1" ht="15">
      <c r="A9" s="148" t="s">
        <v>23</v>
      </c>
      <c r="B9" s="148"/>
      <c r="C9" s="148"/>
      <c r="D9" s="148"/>
      <c r="E9" s="148"/>
      <c r="F9" s="148"/>
      <c r="G9" s="148"/>
      <c r="H9" s="7" t="s">
        <v>50</v>
      </c>
      <c r="I9" s="7"/>
    </row>
    <row r="10" spans="1:12" s="2" customFormat="1" ht="37.5" customHeight="1">
      <c r="A10" s="17" t="s">
        <v>3</v>
      </c>
      <c r="B10" s="15" t="s">
        <v>40</v>
      </c>
      <c r="C10" s="15" t="s">
        <v>5</v>
      </c>
      <c r="D10" s="15" t="s">
        <v>6</v>
      </c>
      <c r="E10" s="16" t="s">
        <v>17</v>
      </c>
      <c r="F10" s="16" t="s">
        <v>39</v>
      </c>
      <c r="G10" s="15" t="s">
        <v>18</v>
      </c>
      <c r="H10" s="15" t="s">
        <v>7</v>
      </c>
      <c r="L10" s="6"/>
    </row>
    <row r="11" spans="1:8" s="2" customFormat="1" ht="28.5" customHeight="1">
      <c r="A11" s="17" t="s">
        <v>24</v>
      </c>
      <c r="B11" s="18" t="s">
        <v>13</v>
      </c>
      <c r="C11" s="15" t="s">
        <v>16</v>
      </c>
      <c r="D11" s="19">
        <v>1</v>
      </c>
      <c r="E11" s="23">
        <v>12889.8</v>
      </c>
      <c r="F11" s="23">
        <v>585</v>
      </c>
      <c r="G11" s="23">
        <f aca="true" t="shared" si="0" ref="G11:G23">E11+F11</f>
        <v>13474.8</v>
      </c>
      <c r="H11" s="19"/>
    </row>
    <row r="12" spans="1:8" s="2" customFormat="1" ht="28.5" customHeight="1">
      <c r="A12" s="17" t="s">
        <v>25</v>
      </c>
      <c r="B12" s="18" t="s">
        <v>14</v>
      </c>
      <c r="C12" s="15" t="s">
        <v>16</v>
      </c>
      <c r="D12" s="19">
        <v>1</v>
      </c>
      <c r="E12" s="23">
        <v>5077.8</v>
      </c>
      <c r="F12" s="23">
        <v>516</v>
      </c>
      <c r="G12" s="23">
        <f t="shared" si="0"/>
        <v>5593.8</v>
      </c>
      <c r="H12" s="19"/>
    </row>
    <row r="13" spans="1:8" s="2" customFormat="1" ht="28.5" customHeight="1">
      <c r="A13" s="17" t="s">
        <v>26</v>
      </c>
      <c r="B13" s="18" t="s">
        <v>22</v>
      </c>
      <c r="C13" s="15" t="s">
        <v>16</v>
      </c>
      <c r="D13" s="19">
        <v>1</v>
      </c>
      <c r="E13" s="23">
        <v>0</v>
      </c>
      <c r="F13" s="23"/>
      <c r="G13" s="23">
        <f t="shared" si="0"/>
        <v>0</v>
      </c>
      <c r="H13" s="19"/>
    </row>
    <row r="14" spans="1:8" s="2" customFormat="1" ht="15">
      <c r="A14" s="17" t="s">
        <v>27</v>
      </c>
      <c r="B14" s="155" t="s">
        <v>129</v>
      </c>
      <c r="C14" s="158"/>
      <c r="D14" s="158"/>
      <c r="E14" s="158"/>
      <c r="F14" s="158">
        <v>166</v>
      </c>
      <c r="G14" s="23">
        <f t="shared" si="0"/>
        <v>166</v>
      </c>
      <c r="H14" s="19"/>
    </row>
    <row r="15" spans="1:8" s="2" customFormat="1" ht="15">
      <c r="A15" s="17" t="s">
        <v>28</v>
      </c>
      <c r="B15" s="18" t="s">
        <v>21</v>
      </c>
      <c r="C15" s="15" t="s">
        <v>16</v>
      </c>
      <c r="D15" s="19">
        <v>1</v>
      </c>
      <c r="E15" s="24">
        <v>25378.66</v>
      </c>
      <c r="F15" s="23"/>
      <c r="G15" s="23">
        <f t="shared" si="0"/>
        <v>25378.66</v>
      </c>
      <c r="H15" s="19"/>
    </row>
    <row r="16" spans="1:11" s="2" customFormat="1" ht="15">
      <c r="A16" s="17" t="s">
        <v>29</v>
      </c>
      <c r="B16" s="18" t="s">
        <v>19</v>
      </c>
      <c r="C16" s="15" t="s">
        <v>16</v>
      </c>
      <c r="D16" s="19">
        <v>1</v>
      </c>
      <c r="E16" s="20">
        <v>14415.31</v>
      </c>
      <c r="F16" s="23"/>
      <c r="G16" s="23">
        <f t="shared" si="0"/>
        <v>14415.31</v>
      </c>
      <c r="H16" s="19"/>
      <c r="K16" s="2" t="s">
        <v>97</v>
      </c>
    </row>
    <row r="17" spans="1:8" s="2" customFormat="1" ht="15">
      <c r="A17" s="17" t="s">
        <v>30</v>
      </c>
      <c r="B17" s="18" t="s">
        <v>20</v>
      </c>
      <c r="C17" s="15" t="s">
        <v>16</v>
      </c>
      <c r="D17" s="19">
        <v>1</v>
      </c>
      <c r="E17" s="23">
        <v>827.84</v>
      </c>
      <c r="F17" s="23"/>
      <c r="G17" s="23">
        <f t="shared" si="0"/>
        <v>827.84</v>
      </c>
      <c r="H17" s="19"/>
    </row>
    <row r="18" spans="1:8" s="2" customFormat="1" ht="15">
      <c r="A18" s="17" t="s">
        <v>31</v>
      </c>
      <c r="B18" s="18" t="s">
        <v>51</v>
      </c>
      <c r="C18" s="15" t="s">
        <v>16</v>
      </c>
      <c r="D18" s="19">
        <v>1</v>
      </c>
      <c r="E18" s="23"/>
      <c r="F18" s="23"/>
      <c r="G18" s="23">
        <f t="shared" si="0"/>
        <v>0</v>
      </c>
      <c r="H18" s="19"/>
    </row>
    <row r="19" spans="1:8" s="2" customFormat="1" ht="15">
      <c r="A19" s="17" t="s">
        <v>134</v>
      </c>
      <c r="B19" s="18" t="s">
        <v>52</v>
      </c>
      <c r="C19" s="15" t="s">
        <v>16</v>
      </c>
      <c r="D19" s="19">
        <v>1</v>
      </c>
      <c r="E19" s="23">
        <v>3053</v>
      </c>
      <c r="F19" s="23"/>
      <c r="G19" s="23">
        <f t="shared" si="0"/>
        <v>3053</v>
      </c>
      <c r="H19" s="19"/>
    </row>
    <row r="20" spans="1:8" s="2" customFormat="1" ht="15">
      <c r="A20" s="17" t="s">
        <v>135</v>
      </c>
      <c r="B20" s="33" t="s">
        <v>105</v>
      </c>
      <c r="C20" s="15" t="s">
        <v>16</v>
      </c>
      <c r="D20" s="19">
        <v>1</v>
      </c>
      <c r="E20" s="23"/>
      <c r="F20" s="23"/>
      <c r="G20" s="23">
        <f t="shared" si="0"/>
        <v>0</v>
      </c>
      <c r="H20" s="19"/>
    </row>
    <row r="21" spans="1:8" s="2" customFormat="1" ht="15">
      <c r="A21" s="17" t="s">
        <v>189</v>
      </c>
      <c r="B21" s="33" t="s">
        <v>106</v>
      </c>
      <c r="C21" s="15" t="s">
        <v>16</v>
      </c>
      <c r="D21" s="19">
        <v>1</v>
      </c>
      <c r="E21" s="23"/>
      <c r="F21" s="23"/>
      <c r="G21" s="23">
        <f t="shared" si="0"/>
        <v>0</v>
      </c>
      <c r="H21" s="19"/>
    </row>
    <row r="22" spans="1:8" s="2" customFormat="1" ht="15">
      <c r="A22" s="17" t="s">
        <v>190</v>
      </c>
      <c r="B22" s="33" t="s">
        <v>109</v>
      </c>
      <c r="C22" s="15" t="s">
        <v>16</v>
      </c>
      <c r="D22" s="19">
        <v>1</v>
      </c>
      <c r="E22" s="23"/>
      <c r="F22" s="23"/>
      <c r="G22" s="23">
        <f t="shared" si="0"/>
        <v>0</v>
      </c>
      <c r="H22" s="19"/>
    </row>
    <row r="23" spans="1:8" s="2" customFormat="1" ht="15">
      <c r="A23" s="17" t="s">
        <v>191</v>
      </c>
      <c r="B23" s="33" t="s">
        <v>107</v>
      </c>
      <c r="C23" s="15" t="s">
        <v>16</v>
      </c>
      <c r="D23" s="19">
        <v>1</v>
      </c>
      <c r="E23" s="23"/>
      <c r="F23" s="23"/>
      <c r="G23" s="23">
        <f t="shared" si="0"/>
        <v>0</v>
      </c>
      <c r="H23" s="19"/>
    </row>
    <row r="24" spans="1:8" s="2" customFormat="1" ht="15">
      <c r="A24" s="17" t="s">
        <v>192</v>
      </c>
      <c r="B24" s="18" t="s">
        <v>48</v>
      </c>
      <c r="C24" s="15"/>
      <c r="D24" s="19"/>
      <c r="E24" s="23">
        <f>E25+E26</f>
        <v>0</v>
      </c>
      <c r="F24" s="23">
        <f>F25+F26</f>
        <v>0</v>
      </c>
      <c r="G24" s="23">
        <f>G25+G26</f>
        <v>0</v>
      </c>
      <c r="H24" s="19"/>
    </row>
    <row r="25" spans="1:8" s="4" customFormat="1" ht="15">
      <c r="A25" s="55"/>
      <c r="B25" s="34"/>
      <c r="C25" s="160"/>
      <c r="D25" s="35"/>
      <c r="E25" s="36"/>
      <c r="F25" s="36"/>
      <c r="G25" s="36">
        <f>E25+F25</f>
        <v>0</v>
      </c>
      <c r="H25" s="35"/>
    </row>
    <row r="26" spans="1:8" s="4" customFormat="1" ht="15">
      <c r="A26" s="55"/>
      <c r="B26" s="34"/>
      <c r="C26" s="160" t="s">
        <v>9</v>
      </c>
      <c r="D26" s="35"/>
      <c r="E26" s="161"/>
      <c r="F26" s="36"/>
      <c r="G26" s="36">
        <f>E26+F26</f>
        <v>0</v>
      </c>
      <c r="H26" s="35"/>
    </row>
    <row r="27" spans="1:8" s="2" customFormat="1" ht="17.25" customHeight="1">
      <c r="A27" s="61" t="s">
        <v>33</v>
      </c>
      <c r="B27" s="62"/>
      <c r="C27" s="170"/>
      <c r="D27" s="135"/>
      <c r="E27" s="171">
        <f>E11+E12+E13+E14+E15+E16+E17+E18+E19+E24+E20+E21+E22+E23</f>
        <v>61642.40999999999</v>
      </c>
      <c r="F27" s="171">
        <f>F11+F12+F13+F14+F15+F16+F17+F18+F19+F24+F20+F21+F22+F23</f>
        <v>1267</v>
      </c>
      <c r="G27" s="171">
        <f>G11+G12+G13+G14+G15+G16+G17+G18+G19+G24+G20+G21+G22+G23</f>
        <v>62909.40999999999</v>
      </c>
      <c r="H27" s="41"/>
    </row>
    <row r="28" s="2" customFormat="1" ht="8.25" customHeight="1">
      <c r="A28" s="53"/>
    </row>
    <row r="29" spans="1:8" s="2" customFormat="1" ht="15">
      <c r="A29" s="148" t="s">
        <v>32</v>
      </c>
      <c r="B29" s="148"/>
      <c r="C29" s="148"/>
      <c r="D29" s="148"/>
      <c r="E29" s="148"/>
      <c r="F29" s="148"/>
      <c r="G29" s="148"/>
      <c r="H29" s="148"/>
    </row>
    <row r="30" spans="1:8" s="2" customFormat="1" ht="36.75" customHeight="1">
      <c r="A30" s="17" t="s">
        <v>3</v>
      </c>
      <c r="B30" s="15" t="s">
        <v>40</v>
      </c>
      <c r="C30" s="15" t="s">
        <v>5</v>
      </c>
      <c r="D30" s="15" t="s">
        <v>6</v>
      </c>
      <c r="E30" s="16" t="s">
        <v>17</v>
      </c>
      <c r="F30" s="16" t="s">
        <v>39</v>
      </c>
      <c r="G30" s="15" t="s">
        <v>18</v>
      </c>
      <c r="H30" s="15" t="s">
        <v>7</v>
      </c>
    </row>
    <row r="31" spans="1:8" s="2" customFormat="1" ht="25.5" customHeight="1">
      <c r="A31" s="17" t="s">
        <v>34</v>
      </c>
      <c r="B31" s="18" t="s">
        <v>150</v>
      </c>
      <c r="C31" s="15" t="s">
        <v>16</v>
      </c>
      <c r="D31" s="19">
        <v>1</v>
      </c>
      <c r="E31" s="23">
        <v>20993.67</v>
      </c>
      <c r="F31" s="23"/>
      <c r="G31" s="23">
        <f aca="true" t="shared" si="1" ref="G31:G37">E31+F31</f>
        <v>20993.67</v>
      </c>
      <c r="H31" s="19"/>
    </row>
    <row r="32" spans="1:8" s="2" customFormat="1" ht="26.25" customHeight="1">
      <c r="A32" s="17" t="s">
        <v>35</v>
      </c>
      <c r="B32" s="18" t="s">
        <v>151</v>
      </c>
      <c r="C32" s="15" t="s">
        <v>16</v>
      </c>
      <c r="D32" s="19">
        <v>1</v>
      </c>
      <c r="E32" s="23">
        <v>5574.85</v>
      </c>
      <c r="F32" s="23">
        <v>11</v>
      </c>
      <c r="G32" s="23">
        <f t="shared" si="1"/>
        <v>5585.85</v>
      </c>
      <c r="H32" s="19"/>
    </row>
    <row r="33" spans="1:8" s="2" customFormat="1" ht="15">
      <c r="A33" s="17" t="s">
        <v>36</v>
      </c>
      <c r="B33" s="155" t="s">
        <v>129</v>
      </c>
      <c r="C33" s="15"/>
      <c r="D33" s="19"/>
      <c r="E33" s="23"/>
      <c r="F33" s="23">
        <v>1571</v>
      </c>
      <c r="G33" s="23">
        <f t="shared" si="1"/>
        <v>1571</v>
      </c>
      <c r="H33" s="19"/>
    </row>
    <row r="34" spans="1:8" s="2" customFormat="1" ht="15">
      <c r="A34" s="17" t="s">
        <v>37</v>
      </c>
      <c r="B34" s="18" t="s">
        <v>53</v>
      </c>
      <c r="C34" s="15" t="s">
        <v>16</v>
      </c>
      <c r="D34" s="19">
        <v>1</v>
      </c>
      <c r="E34" s="23"/>
      <c r="F34" s="23"/>
      <c r="G34" s="23">
        <f t="shared" si="1"/>
        <v>0</v>
      </c>
      <c r="H34" s="19"/>
    </row>
    <row r="35" spans="1:8" s="2" customFormat="1" ht="15">
      <c r="A35" s="17" t="s">
        <v>137</v>
      </c>
      <c r="B35" s="18" t="s">
        <v>48</v>
      </c>
      <c r="C35" s="15" t="s">
        <v>9</v>
      </c>
      <c r="D35" s="19">
        <v>1</v>
      </c>
      <c r="E35" s="23">
        <f>E36+E37</f>
        <v>0</v>
      </c>
      <c r="F35" s="23">
        <f>F36+F37</f>
        <v>0</v>
      </c>
      <c r="G35" s="23">
        <f t="shared" si="1"/>
        <v>0</v>
      </c>
      <c r="H35" s="19"/>
    </row>
    <row r="36" spans="1:8" s="4" customFormat="1" ht="15">
      <c r="A36" s="55"/>
      <c r="B36" s="34"/>
      <c r="C36" s="160"/>
      <c r="D36" s="35"/>
      <c r="E36" s="36"/>
      <c r="F36" s="36"/>
      <c r="G36" s="36">
        <f t="shared" si="1"/>
        <v>0</v>
      </c>
      <c r="H36" s="35"/>
    </row>
    <row r="37" spans="1:9" s="4" customFormat="1" ht="15">
      <c r="A37" s="55"/>
      <c r="B37" s="34"/>
      <c r="C37" s="160"/>
      <c r="D37" s="35"/>
      <c r="E37" s="36"/>
      <c r="F37" s="36"/>
      <c r="G37" s="36">
        <f t="shared" si="1"/>
        <v>0</v>
      </c>
      <c r="H37" s="35"/>
      <c r="I37" s="4" t="s">
        <v>97</v>
      </c>
    </row>
    <row r="38" spans="1:8" s="2" customFormat="1" ht="15">
      <c r="A38" s="227" t="s">
        <v>10</v>
      </c>
      <c r="B38" s="228"/>
      <c r="C38" s="229"/>
      <c r="D38" s="41"/>
      <c r="E38" s="171">
        <f>E31+E32+E33+E34+E35</f>
        <v>26568.519999999997</v>
      </c>
      <c r="F38" s="171">
        <f>F31+F32+F33+F34+F35</f>
        <v>1582</v>
      </c>
      <c r="G38" s="171">
        <f>G31+G32+G33+G34+G35</f>
        <v>28150.519999999997</v>
      </c>
      <c r="H38" s="41"/>
    </row>
    <row r="39" s="2" customFormat="1" ht="9.75" customHeight="1">
      <c r="A39" s="53"/>
    </row>
    <row r="40" spans="1:8" s="2" customFormat="1" ht="15">
      <c r="A40" s="219" t="s">
        <v>38</v>
      </c>
      <c r="B40" s="219"/>
      <c r="C40" s="219"/>
      <c r="D40" s="219"/>
      <c r="E40" s="219"/>
      <c r="F40" s="219"/>
      <c r="G40" s="219"/>
      <c r="H40" s="219"/>
    </row>
    <row r="41" spans="1:8" s="2" customFormat="1" ht="36" customHeight="1">
      <c r="A41" s="17" t="s">
        <v>3</v>
      </c>
      <c r="B41" s="15" t="s">
        <v>40</v>
      </c>
      <c r="C41" s="15" t="s">
        <v>5</v>
      </c>
      <c r="D41" s="15" t="s">
        <v>6</v>
      </c>
      <c r="E41" s="16" t="s">
        <v>17</v>
      </c>
      <c r="F41" s="16" t="s">
        <v>39</v>
      </c>
      <c r="G41" s="15" t="s">
        <v>18</v>
      </c>
      <c r="H41" s="15" t="s">
        <v>7</v>
      </c>
    </row>
    <row r="42" spans="1:8" s="2" customFormat="1" ht="26.25" customHeight="1">
      <c r="A42" s="17" t="s">
        <v>42</v>
      </c>
      <c r="B42" s="18" t="s">
        <v>153</v>
      </c>
      <c r="C42" s="15" t="s">
        <v>16</v>
      </c>
      <c r="D42" s="15">
        <v>1</v>
      </c>
      <c r="E42" s="25">
        <v>2431.92</v>
      </c>
      <c r="F42" s="25">
        <v>3214.5</v>
      </c>
      <c r="G42" s="26">
        <f>E42+F42</f>
        <v>5646.42</v>
      </c>
      <c r="H42" s="19"/>
    </row>
    <row r="43" spans="1:8" s="2" customFormat="1" ht="15">
      <c r="A43" s="17"/>
      <c r="B43" s="155" t="s">
        <v>129</v>
      </c>
      <c r="C43" s="15"/>
      <c r="D43" s="15"/>
      <c r="E43" s="25"/>
      <c r="F43" s="25"/>
      <c r="G43" s="26">
        <f>E43+F43</f>
        <v>0</v>
      </c>
      <c r="H43" s="19"/>
    </row>
    <row r="44" spans="1:8" s="2" customFormat="1" ht="15">
      <c r="A44" s="17" t="s">
        <v>43</v>
      </c>
      <c r="B44" s="18" t="s">
        <v>48</v>
      </c>
      <c r="C44" s="15"/>
      <c r="D44" s="15"/>
      <c r="E44" s="25"/>
      <c r="F44" s="25"/>
      <c r="G44" s="26">
        <f>E44+F44</f>
        <v>0</v>
      </c>
      <c r="H44" s="19"/>
    </row>
    <row r="45" spans="1:11" s="2" customFormat="1" ht="15">
      <c r="A45" s="17"/>
      <c r="B45" s="18"/>
      <c r="C45" s="15"/>
      <c r="D45" s="19"/>
      <c r="E45" s="23"/>
      <c r="F45" s="26"/>
      <c r="G45" s="37">
        <f>E45+F45</f>
        <v>0</v>
      </c>
      <c r="H45" s="19"/>
      <c r="K45" s="12">
        <f>F27+F38+F47</f>
        <v>6063.5</v>
      </c>
    </row>
    <row r="46" spans="1:8" s="2" customFormat="1" ht="15">
      <c r="A46" s="17"/>
      <c r="B46" s="18"/>
      <c r="C46" s="19"/>
      <c r="D46" s="19"/>
      <c r="E46" s="23"/>
      <c r="F46" s="26"/>
      <c r="G46" s="37">
        <f>E46+F46</f>
        <v>0</v>
      </c>
      <c r="H46" s="19"/>
    </row>
    <row r="47" spans="1:8" s="2" customFormat="1" ht="15">
      <c r="A47" s="211" t="s">
        <v>41</v>
      </c>
      <c r="B47" s="212"/>
      <c r="C47" s="213"/>
      <c r="D47" s="41"/>
      <c r="E47" s="42">
        <f>SUM(E42:E46)</f>
        <v>2431.92</v>
      </c>
      <c r="F47" s="44">
        <f>SUM(F42:F44)</f>
        <v>3214.5</v>
      </c>
      <c r="G47" s="42">
        <f>SUM(G42:G46)</f>
        <v>5646.42</v>
      </c>
      <c r="H47" s="41"/>
    </row>
    <row r="48" spans="1:8" s="2" customFormat="1" ht="7.5" customHeight="1">
      <c r="A48" s="54"/>
      <c r="B48" s="8"/>
      <c r="C48" s="8"/>
      <c r="D48" s="9"/>
      <c r="E48" s="9"/>
      <c r="F48" s="10"/>
      <c r="G48" s="9"/>
      <c r="H48" s="11"/>
    </row>
    <row r="49" spans="1:8" s="7" customFormat="1" ht="15" customHeight="1">
      <c r="A49" s="219" t="s">
        <v>154</v>
      </c>
      <c r="B49" s="219"/>
      <c r="C49" s="219"/>
      <c r="D49" s="219"/>
      <c r="E49" s="219"/>
      <c r="F49" s="219"/>
      <c r="G49" s="219"/>
      <c r="H49" s="58"/>
    </row>
    <row r="50" spans="1:7" s="2" customFormat="1" ht="24.75">
      <c r="A50" s="17" t="s">
        <v>3</v>
      </c>
      <c r="B50" s="15" t="s">
        <v>4</v>
      </c>
      <c r="C50" s="15" t="s">
        <v>5</v>
      </c>
      <c r="D50" s="15" t="s">
        <v>6</v>
      </c>
      <c r="E50" s="16" t="s">
        <v>45</v>
      </c>
      <c r="F50" s="220" t="s">
        <v>46</v>
      </c>
      <c r="G50" s="221"/>
    </row>
    <row r="51" spans="1:7" s="2" customFormat="1" ht="25.5" customHeight="1">
      <c r="A51" s="17" t="s">
        <v>67</v>
      </c>
      <c r="B51" s="27" t="s">
        <v>152</v>
      </c>
      <c r="C51" s="29" t="s">
        <v>16</v>
      </c>
      <c r="D51" s="28">
        <v>1</v>
      </c>
      <c r="E51" s="30">
        <f>5883.8*2.274</f>
        <v>13379.7612</v>
      </c>
      <c r="F51" s="30"/>
      <c r="G51" s="30"/>
    </row>
    <row r="52" spans="1:7" s="2" customFormat="1" ht="15">
      <c r="A52" s="17" t="s">
        <v>68</v>
      </c>
      <c r="B52" s="28" t="s">
        <v>54</v>
      </c>
      <c r="C52" s="29" t="s">
        <v>16</v>
      </c>
      <c r="D52" s="28">
        <v>1</v>
      </c>
      <c r="E52" s="30">
        <f>5883.8*0.4</f>
        <v>2353.52</v>
      </c>
      <c r="F52" s="30"/>
      <c r="G52" s="30"/>
    </row>
    <row r="53" spans="1:7" s="2" customFormat="1" ht="15">
      <c r="A53" s="17" t="s">
        <v>69</v>
      </c>
      <c r="B53" s="28" t="s">
        <v>55</v>
      </c>
      <c r="C53" s="29" t="s">
        <v>16</v>
      </c>
      <c r="D53" s="28">
        <v>1</v>
      </c>
      <c r="E53" s="30">
        <f>5883.8*0.21</f>
        <v>1235.598</v>
      </c>
      <c r="F53" s="30"/>
      <c r="G53" s="30"/>
    </row>
    <row r="54" spans="1:7" s="2" customFormat="1" ht="15">
      <c r="A54" s="17" t="s">
        <v>70</v>
      </c>
      <c r="B54" s="28" t="s">
        <v>56</v>
      </c>
      <c r="C54" s="29" t="s">
        <v>16</v>
      </c>
      <c r="D54" s="28">
        <v>1</v>
      </c>
      <c r="E54" s="30">
        <v>2664.02</v>
      </c>
      <c r="F54" s="30"/>
      <c r="G54" s="30"/>
    </row>
    <row r="55" spans="1:7" s="2" customFormat="1" ht="15">
      <c r="A55" s="17" t="s">
        <v>72</v>
      </c>
      <c r="B55" s="18" t="s">
        <v>75</v>
      </c>
      <c r="C55" s="29" t="s">
        <v>16</v>
      </c>
      <c r="D55" s="28">
        <v>1</v>
      </c>
      <c r="E55" s="30">
        <f>E56+E57+E58+E59+E60+E61+E62+E63+E64</f>
        <v>3096.58</v>
      </c>
      <c r="F55" s="30"/>
      <c r="G55" s="30"/>
    </row>
    <row r="56" spans="1:7" s="4" customFormat="1" ht="15">
      <c r="A56" s="55"/>
      <c r="B56" s="34" t="s">
        <v>64</v>
      </c>
      <c r="C56" s="29" t="s">
        <v>16</v>
      </c>
      <c r="D56" s="28">
        <v>1</v>
      </c>
      <c r="E56" s="36">
        <v>648.88</v>
      </c>
      <c r="F56" s="37"/>
      <c r="G56" s="36"/>
    </row>
    <row r="57" spans="1:11" s="4" customFormat="1" ht="15">
      <c r="A57" s="55"/>
      <c r="B57" s="34" t="s">
        <v>65</v>
      </c>
      <c r="C57" s="29" t="s">
        <v>16</v>
      </c>
      <c r="D57" s="28">
        <v>1</v>
      </c>
      <c r="E57" s="36">
        <v>528.89</v>
      </c>
      <c r="F57" s="37"/>
      <c r="G57" s="36"/>
      <c r="J57" s="38"/>
      <c r="K57" s="39"/>
    </row>
    <row r="58" spans="1:7" s="4" customFormat="1" ht="24.75">
      <c r="A58" s="55"/>
      <c r="B58" s="34" t="s">
        <v>66</v>
      </c>
      <c r="C58" s="29" t="s">
        <v>16</v>
      </c>
      <c r="D58" s="28">
        <v>1</v>
      </c>
      <c r="E58" s="36">
        <f>610.74+160.65</f>
        <v>771.39</v>
      </c>
      <c r="F58" s="37"/>
      <c r="G58" s="36"/>
    </row>
    <row r="59" spans="1:7" s="4" customFormat="1" ht="15">
      <c r="A59" s="55"/>
      <c r="B59" s="34" t="s">
        <v>71</v>
      </c>
      <c r="C59" s="29" t="s">
        <v>16</v>
      </c>
      <c r="D59" s="28">
        <v>1</v>
      </c>
      <c r="E59" s="35">
        <v>865.79</v>
      </c>
      <c r="F59" s="40"/>
      <c r="G59" s="35"/>
    </row>
    <row r="60" spans="1:7" s="4" customFormat="1" ht="15">
      <c r="A60" s="55"/>
      <c r="B60" s="34" t="s">
        <v>76</v>
      </c>
      <c r="C60" s="29" t="s">
        <v>16</v>
      </c>
      <c r="D60" s="28">
        <v>1</v>
      </c>
      <c r="E60" s="35"/>
      <c r="F60" s="40"/>
      <c r="G60" s="35"/>
    </row>
    <row r="61" spans="1:7" s="4" customFormat="1" ht="15">
      <c r="A61" s="55"/>
      <c r="B61" s="34" t="s">
        <v>74</v>
      </c>
      <c r="C61" s="29" t="s">
        <v>16</v>
      </c>
      <c r="D61" s="28">
        <v>1</v>
      </c>
      <c r="E61" s="35">
        <v>252.59</v>
      </c>
      <c r="F61" s="40"/>
      <c r="G61" s="35"/>
    </row>
    <row r="62" spans="1:7" s="4" customFormat="1" ht="15">
      <c r="A62" s="55"/>
      <c r="B62" s="34" t="s">
        <v>77</v>
      </c>
      <c r="C62" s="29" t="s">
        <v>16</v>
      </c>
      <c r="D62" s="28">
        <v>1</v>
      </c>
      <c r="E62" s="35">
        <v>29.04</v>
      </c>
      <c r="F62" s="40"/>
      <c r="G62" s="35"/>
    </row>
    <row r="63" spans="1:7" s="4" customFormat="1" ht="15">
      <c r="A63" s="55"/>
      <c r="B63" s="34" t="s">
        <v>78</v>
      </c>
      <c r="C63" s="29" t="s">
        <v>16</v>
      </c>
      <c r="D63" s="28">
        <v>1</v>
      </c>
      <c r="E63" s="35"/>
      <c r="F63" s="40"/>
      <c r="G63" s="35"/>
    </row>
    <row r="64" spans="1:9" s="4" customFormat="1" ht="15">
      <c r="A64" s="55"/>
      <c r="B64" s="34"/>
      <c r="C64" s="35"/>
      <c r="D64" s="35"/>
      <c r="E64" s="35"/>
      <c r="F64" s="40"/>
      <c r="G64" s="35"/>
      <c r="I64" s="39"/>
    </row>
    <row r="65" spans="1:7" s="2" customFormat="1" ht="15">
      <c r="A65" s="180" t="s">
        <v>155</v>
      </c>
      <c r="B65" s="181"/>
      <c r="C65" s="182"/>
      <c r="D65" s="41"/>
      <c r="E65" s="42">
        <f>E51+E52+E53+E54+E55</f>
        <v>22729.4792</v>
      </c>
      <c r="F65" s="43"/>
      <c r="G65" s="41"/>
    </row>
    <row r="66" spans="1:7" s="52" customFormat="1" ht="25.5">
      <c r="A66" s="56" t="s">
        <v>156</v>
      </c>
      <c r="B66" s="47" t="s">
        <v>57</v>
      </c>
      <c r="C66" s="48" t="s">
        <v>16</v>
      </c>
      <c r="D66" s="49">
        <v>1</v>
      </c>
      <c r="E66" s="51">
        <v>4448.5</v>
      </c>
      <c r="F66" s="50"/>
      <c r="G66" s="51"/>
    </row>
    <row r="67" spans="1:7" s="46" customFormat="1" ht="15" customHeight="1">
      <c r="A67" s="222" t="s">
        <v>157</v>
      </c>
      <c r="B67" s="223"/>
      <c r="C67" s="223"/>
      <c r="D67" s="223"/>
      <c r="E67" s="223"/>
      <c r="F67" s="223"/>
      <c r="G67" s="224"/>
    </row>
    <row r="68" spans="1:7" s="2" customFormat="1" ht="33.75" customHeight="1">
      <c r="A68" s="17" t="s">
        <v>3</v>
      </c>
      <c r="B68" s="15" t="s">
        <v>4</v>
      </c>
      <c r="C68" s="15" t="s">
        <v>5</v>
      </c>
      <c r="D68" s="15" t="s">
        <v>6</v>
      </c>
      <c r="E68" s="16" t="s">
        <v>45</v>
      </c>
      <c r="F68" s="220" t="s">
        <v>46</v>
      </c>
      <c r="G68" s="221"/>
    </row>
    <row r="69" spans="1:7" s="2" customFormat="1" ht="25.5" customHeight="1">
      <c r="A69" s="17"/>
      <c r="B69" s="33" t="s">
        <v>58</v>
      </c>
      <c r="C69" s="29" t="s">
        <v>16</v>
      </c>
      <c r="D69" s="28">
        <v>1</v>
      </c>
      <c r="E69" s="30">
        <v>46726.03</v>
      </c>
      <c r="F69" s="30"/>
      <c r="G69" s="30"/>
    </row>
    <row r="70" spans="1:7" s="2" customFormat="1" ht="15">
      <c r="A70" s="17"/>
      <c r="B70" s="33" t="s">
        <v>59</v>
      </c>
      <c r="C70" s="29" t="s">
        <v>16</v>
      </c>
      <c r="D70" s="28">
        <v>1</v>
      </c>
      <c r="E70" s="30">
        <v>60501.11</v>
      </c>
      <c r="F70" s="30"/>
      <c r="G70" s="30"/>
    </row>
    <row r="71" spans="1:7" s="2" customFormat="1" ht="15">
      <c r="A71" s="17"/>
      <c r="B71" s="33" t="s">
        <v>60</v>
      </c>
      <c r="C71" s="29" t="s">
        <v>16</v>
      </c>
      <c r="D71" s="28">
        <v>1</v>
      </c>
      <c r="E71" s="30">
        <v>27698.78</v>
      </c>
      <c r="F71" s="30"/>
      <c r="G71" s="30"/>
    </row>
    <row r="72" spans="1:7" s="2" customFormat="1" ht="15">
      <c r="A72" s="17"/>
      <c r="B72" s="33" t="s">
        <v>61</v>
      </c>
      <c r="C72" s="29" t="s">
        <v>16</v>
      </c>
      <c r="D72" s="28">
        <v>1</v>
      </c>
      <c r="E72" s="30">
        <v>12015.33</v>
      </c>
      <c r="F72" s="30"/>
      <c r="G72" s="30"/>
    </row>
    <row r="73" spans="1:9" s="2" customFormat="1" ht="15">
      <c r="A73" s="17"/>
      <c r="B73" s="33" t="s">
        <v>62</v>
      </c>
      <c r="C73" s="29" t="s">
        <v>16</v>
      </c>
      <c r="D73" s="19">
        <v>1</v>
      </c>
      <c r="E73" s="30">
        <v>14451.86</v>
      </c>
      <c r="F73" s="26"/>
      <c r="G73" s="23"/>
      <c r="I73" s="13">
        <f>E72+E73</f>
        <v>26467.190000000002</v>
      </c>
    </row>
    <row r="74" spans="1:7" s="2" customFormat="1" ht="15">
      <c r="A74" s="17"/>
      <c r="B74" s="18"/>
      <c r="C74" s="29"/>
      <c r="D74" s="28"/>
      <c r="E74" s="30"/>
      <c r="F74" s="30"/>
      <c r="G74" s="30"/>
    </row>
    <row r="75" spans="1:7" s="2" customFormat="1" ht="15">
      <c r="A75" s="215" t="s">
        <v>63</v>
      </c>
      <c r="B75" s="216"/>
      <c r="C75" s="217"/>
      <c r="D75" s="19"/>
      <c r="E75" s="30">
        <f>SUM(E69:E74)</f>
        <v>161393.11</v>
      </c>
      <c r="F75" s="21"/>
      <c r="G75" s="19"/>
    </row>
    <row r="76" spans="1:7" s="2" customFormat="1" ht="15">
      <c r="A76" s="54"/>
      <c r="B76" s="8"/>
      <c r="C76" s="8"/>
      <c r="D76" s="31"/>
      <c r="E76" s="45"/>
      <c r="F76" s="32"/>
      <c r="G76" s="31"/>
    </row>
    <row r="77" spans="1:7" s="2" customFormat="1" ht="15">
      <c r="A77" s="54"/>
      <c r="B77" s="8"/>
      <c r="C77" s="8"/>
      <c r="D77" s="31"/>
      <c r="E77" s="45"/>
      <c r="F77" s="32"/>
      <c r="G77" s="31"/>
    </row>
    <row r="78" spans="1:7" s="2" customFormat="1" ht="15">
      <c r="A78" s="54"/>
      <c r="B78" s="8"/>
      <c r="C78" s="8"/>
      <c r="D78" s="31"/>
      <c r="E78" s="45"/>
      <c r="F78" s="32"/>
      <c r="G78" s="31"/>
    </row>
    <row r="79" spans="1:7" s="2" customFormat="1" ht="15">
      <c r="A79" s="54"/>
      <c r="B79" s="8"/>
      <c r="C79" s="8"/>
      <c r="D79" s="31"/>
      <c r="E79" s="45"/>
      <c r="F79" s="32"/>
      <c r="G79" s="31"/>
    </row>
    <row r="80" s="2" customFormat="1" ht="15">
      <c r="A80" s="53"/>
    </row>
    <row r="81" spans="1:7" s="2" customFormat="1" ht="15">
      <c r="A81" s="218" t="s">
        <v>11</v>
      </c>
      <c r="B81" s="218"/>
      <c r="C81" s="218"/>
      <c r="D81" s="218"/>
      <c r="E81" s="225">
        <f>G27+G38+G47+E65+E66+E75</f>
        <v>285277.43919999996</v>
      </c>
      <c r="F81" s="225"/>
      <c r="G81" s="225"/>
    </row>
    <row r="82" spans="1:7" s="2" customFormat="1" ht="15">
      <c r="A82" s="53"/>
      <c r="G82" s="13"/>
    </row>
    <row r="83" s="2" customFormat="1" ht="15">
      <c r="A83" s="53"/>
    </row>
    <row r="84" s="2" customFormat="1" ht="15">
      <c r="A84" s="53"/>
    </row>
    <row r="85" s="2" customFormat="1" ht="15">
      <c r="A85" s="53"/>
    </row>
    <row r="86" spans="1:5" s="2" customFormat="1" ht="15">
      <c r="A86" s="226" t="s">
        <v>47</v>
      </c>
      <c r="B86" s="226"/>
      <c r="E86" s="2" t="s">
        <v>12</v>
      </c>
    </row>
    <row r="87" spans="1:5" s="2" customFormat="1" ht="15">
      <c r="A87" s="226" t="s">
        <v>1</v>
      </c>
      <c r="B87" s="226"/>
      <c r="E87" s="2" t="s">
        <v>201</v>
      </c>
    </row>
    <row r="88" spans="1:5" s="2" customFormat="1" ht="30" customHeight="1">
      <c r="A88" s="214" t="s">
        <v>73</v>
      </c>
      <c r="B88" s="214"/>
      <c r="C88" s="22"/>
      <c r="E88" s="2" t="s">
        <v>202</v>
      </c>
    </row>
    <row r="89" s="2" customFormat="1" ht="15">
      <c r="A89" s="53"/>
    </row>
    <row r="90" s="2" customFormat="1" ht="15">
      <c r="A90" s="53"/>
    </row>
    <row r="91" s="2" customFormat="1" ht="15">
      <c r="A91" s="53"/>
    </row>
    <row r="92" s="2" customFormat="1" ht="15">
      <c r="A92" s="53"/>
    </row>
  </sheetData>
  <sheetProtection/>
  <mergeCells count="17">
    <mergeCell ref="A87:B87"/>
    <mergeCell ref="A88:B88"/>
    <mergeCell ref="A81:D81"/>
    <mergeCell ref="A1:B1"/>
    <mergeCell ref="A3:E3"/>
    <mergeCell ref="A5:H5"/>
    <mergeCell ref="A6:H6"/>
    <mergeCell ref="E81:G81"/>
    <mergeCell ref="A86:B86"/>
    <mergeCell ref="F50:G50"/>
    <mergeCell ref="A67:G67"/>
    <mergeCell ref="F68:G68"/>
    <mergeCell ref="A75:C75"/>
    <mergeCell ref="A38:C38"/>
    <mergeCell ref="A40:H40"/>
    <mergeCell ref="A47:C47"/>
    <mergeCell ref="A49:G49"/>
  </mergeCells>
  <printOptions/>
  <pageMargins left="0.38" right="0.19" top="0.33" bottom="0.41" header="0.29" footer="0.51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40">
      <selection activeCell="F42" sqref="F42"/>
    </sheetView>
  </sheetViews>
  <sheetFormatPr defaultColWidth="9.140625" defaultRowHeight="15"/>
  <cols>
    <col min="1" max="1" width="5.140625" style="57" customWidth="1"/>
    <col min="2" max="2" width="34.140625" style="14" customWidth="1"/>
    <col min="3" max="3" width="7.00390625" style="14" customWidth="1"/>
    <col min="4" max="4" width="5.00390625" style="14" customWidth="1"/>
    <col min="5" max="5" width="11.421875" style="14" customWidth="1"/>
    <col min="6" max="6" width="10.57421875" style="14" customWidth="1"/>
    <col min="7" max="7" width="11.8515625" style="14" customWidth="1"/>
    <col min="8" max="8" width="10.00390625" style="14" customWidth="1"/>
    <col min="9" max="16384" width="9.140625" style="14" customWidth="1"/>
  </cols>
  <sheetData>
    <row r="1" spans="1:5" s="2" customFormat="1" ht="15">
      <c r="A1" s="230" t="s">
        <v>0</v>
      </c>
      <c r="B1" s="230"/>
      <c r="C1" s="1" t="s">
        <v>200</v>
      </c>
      <c r="D1" s="1"/>
      <c r="E1" s="1"/>
    </row>
    <row r="2" spans="1:5" s="2" customFormat="1" ht="15">
      <c r="A2" s="60"/>
      <c r="B2" s="60"/>
      <c r="C2" s="1"/>
      <c r="D2" s="1"/>
      <c r="E2" s="1"/>
    </row>
    <row r="3" spans="1:7" s="2" customFormat="1" ht="15">
      <c r="A3" s="230" t="s">
        <v>8</v>
      </c>
      <c r="B3" s="230"/>
      <c r="C3" s="230"/>
      <c r="D3" s="230"/>
      <c r="E3" s="230"/>
      <c r="F3" s="3" t="s">
        <v>49</v>
      </c>
      <c r="G3" s="1"/>
    </row>
    <row r="4" s="2" customFormat="1" ht="15">
      <c r="A4" s="53"/>
    </row>
    <row r="5" spans="1:8" s="2" customFormat="1" ht="18.75">
      <c r="A5" s="231" t="s">
        <v>194</v>
      </c>
      <c r="B5" s="231"/>
      <c r="C5" s="231"/>
      <c r="D5" s="231"/>
      <c r="E5" s="231"/>
      <c r="F5" s="231"/>
      <c r="G5" s="231"/>
      <c r="H5" s="231"/>
    </row>
    <row r="6" spans="1:8" s="2" customFormat="1" ht="15">
      <c r="A6" s="214" t="s">
        <v>149</v>
      </c>
      <c r="B6" s="214"/>
      <c r="C6" s="214"/>
      <c r="D6" s="214"/>
      <c r="E6" s="214"/>
      <c r="F6" s="214"/>
      <c r="G6" s="214"/>
      <c r="H6" s="214"/>
    </row>
    <row r="7" spans="1:6" s="2" customFormat="1" ht="15">
      <c r="A7" s="53"/>
      <c r="B7" s="4" t="s">
        <v>2</v>
      </c>
      <c r="C7" s="4"/>
      <c r="D7" s="5" t="s">
        <v>195</v>
      </c>
      <c r="E7" s="4"/>
      <c r="F7" s="4"/>
    </row>
    <row r="8" s="2" customFormat="1" ht="7.5" customHeight="1">
      <c r="A8" s="53"/>
    </row>
    <row r="9" spans="1:9" s="2" customFormat="1" ht="15">
      <c r="A9" s="148" t="s">
        <v>23</v>
      </c>
      <c r="B9" s="148"/>
      <c r="C9" s="148"/>
      <c r="D9" s="148"/>
      <c r="E9" s="148"/>
      <c r="F9" s="148"/>
      <c r="G9" s="148"/>
      <c r="H9" s="7" t="s">
        <v>50</v>
      </c>
      <c r="I9" s="7"/>
    </row>
    <row r="10" spans="1:12" s="2" customFormat="1" ht="37.5" customHeight="1">
      <c r="A10" s="17" t="s">
        <v>3</v>
      </c>
      <c r="B10" s="15" t="s">
        <v>40</v>
      </c>
      <c r="C10" s="15" t="s">
        <v>5</v>
      </c>
      <c r="D10" s="15" t="s">
        <v>6</v>
      </c>
      <c r="E10" s="16" t="s">
        <v>17</v>
      </c>
      <c r="F10" s="16" t="s">
        <v>39</v>
      </c>
      <c r="G10" s="15" t="s">
        <v>18</v>
      </c>
      <c r="H10" s="15" t="s">
        <v>7</v>
      </c>
      <c r="L10" s="6"/>
    </row>
    <row r="11" spans="1:8" s="2" customFormat="1" ht="28.5" customHeight="1">
      <c r="A11" s="17" t="s">
        <v>24</v>
      </c>
      <c r="B11" s="18" t="s">
        <v>13</v>
      </c>
      <c r="C11" s="15" t="s">
        <v>16</v>
      </c>
      <c r="D11" s="19">
        <v>1</v>
      </c>
      <c r="E11" s="23">
        <v>14009.52</v>
      </c>
      <c r="F11" s="23">
        <v>140</v>
      </c>
      <c r="G11" s="23">
        <f aca="true" t="shared" si="0" ref="G11:G23">E11+F11</f>
        <v>14149.52</v>
      </c>
      <c r="H11" s="19"/>
    </row>
    <row r="12" spans="1:8" s="2" customFormat="1" ht="28.5" customHeight="1">
      <c r="A12" s="17" t="s">
        <v>25</v>
      </c>
      <c r="B12" s="18" t="s">
        <v>14</v>
      </c>
      <c r="C12" s="15" t="s">
        <v>16</v>
      </c>
      <c r="D12" s="19">
        <v>1</v>
      </c>
      <c r="E12" s="23">
        <v>5077.8</v>
      </c>
      <c r="F12" s="23">
        <v>320</v>
      </c>
      <c r="G12" s="23">
        <f t="shared" si="0"/>
        <v>5397.8</v>
      </c>
      <c r="H12" s="19"/>
    </row>
    <row r="13" spans="1:8" s="2" customFormat="1" ht="28.5" customHeight="1">
      <c r="A13" s="17" t="s">
        <v>26</v>
      </c>
      <c r="B13" s="18" t="s">
        <v>22</v>
      </c>
      <c r="C13" s="15" t="s">
        <v>16</v>
      </c>
      <c r="D13" s="19">
        <v>1</v>
      </c>
      <c r="E13" s="23">
        <v>0</v>
      </c>
      <c r="F13" s="23"/>
      <c r="G13" s="23">
        <f t="shared" si="0"/>
        <v>0</v>
      </c>
      <c r="H13" s="19"/>
    </row>
    <row r="14" spans="1:8" s="2" customFormat="1" ht="15">
      <c r="A14" s="17" t="s">
        <v>27</v>
      </c>
      <c r="B14" s="155" t="s">
        <v>129</v>
      </c>
      <c r="C14" s="158"/>
      <c r="D14" s="158"/>
      <c r="E14" s="158"/>
      <c r="F14" s="158">
        <v>130</v>
      </c>
      <c r="G14" s="23">
        <f t="shared" si="0"/>
        <v>130</v>
      </c>
      <c r="H14" s="19"/>
    </row>
    <row r="15" spans="1:8" s="2" customFormat="1" ht="15">
      <c r="A15" s="17" t="s">
        <v>28</v>
      </c>
      <c r="B15" s="18" t="s">
        <v>21</v>
      </c>
      <c r="C15" s="15" t="s">
        <v>16</v>
      </c>
      <c r="D15" s="19">
        <v>1</v>
      </c>
      <c r="E15" s="24">
        <v>25378.66</v>
      </c>
      <c r="F15" s="23"/>
      <c r="G15" s="23">
        <f t="shared" si="0"/>
        <v>25378.66</v>
      </c>
      <c r="H15" s="19"/>
    </row>
    <row r="16" spans="1:11" s="2" customFormat="1" ht="15">
      <c r="A16" s="17" t="s">
        <v>29</v>
      </c>
      <c r="B16" s="18" t="s">
        <v>19</v>
      </c>
      <c r="C16" s="15" t="s">
        <v>16</v>
      </c>
      <c r="D16" s="19">
        <v>1</v>
      </c>
      <c r="E16" s="20">
        <v>14415.31</v>
      </c>
      <c r="F16" s="23"/>
      <c r="G16" s="23">
        <f t="shared" si="0"/>
        <v>14415.31</v>
      </c>
      <c r="H16" s="19"/>
      <c r="K16" s="2" t="s">
        <v>97</v>
      </c>
    </row>
    <row r="17" spans="1:8" s="2" customFormat="1" ht="15">
      <c r="A17" s="17" t="s">
        <v>30</v>
      </c>
      <c r="B17" s="18" t="s">
        <v>20</v>
      </c>
      <c r="C17" s="15" t="s">
        <v>16</v>
      </c>
      <c r="D17" s="19">
        <v>1</v>
      </c>
      <c r="E17" s="23">
        <v>827.84</v>
      </c>
      <c r="F17" s="23"/>
      <c r="G17" s="23">
        <f t="shared" si="0"/>
        <v>827.84</v>
      </c>
      <c r="H17" s="19"/>
    </row>
    <row r="18" spans="1:8" s="2" customFormat="1" ht="15">
      <c r="A18" s="17" t="s">
        <v>31</v>
      </c>
      <c r="B18" s="18" t="s">
        <v>51</v>
      </c>
      <c r="C18" s="15" t="s">
        <v>16</v>
      </c>
      <c r="D18" s="19">
        <v>1</v>
      </c>
      <c r="E18" s="23"/>
      <c r="F18" s="23"/>
      <c r="G18" s="23">
        <f t="shared" si="0"/>
        <v>0</v>
      </c>
      <c r="H18" s="19"/>
    </row>
    <row r="19" spans="1:8" s="2" customFormat="1" ht="15">
      <c r="A19" s="17" t="s">
        <v>134</v>
      </c>
      <c r="B19" s="18" t="s">
        <v>52</v>
      </c>
      <c r="C19" s="15" t="s">
        <v>16</v>
      </c>
      <c r="D19" s="19">
        <v>1</v>
      </c>
      <c r="E19" s="23">
        <v>3053</v>
      </c>
      <c r="F19" s="23"/>
      <c r="G19" s="23">
        <f t="shared" si="0"/>
        <v>3053</v>
      </c>
      <c r="H19" s="19"/>
    </row>
    <row r="20" spans="1:8" s="2" customFormat="1" ht="15">
      <c r="A20" s="17" t="s">
        <v>135</v>
      </c>
      <c r="B20" s="33" t="s">
        <v>105</v>
      </c>
      <c r="C20" s="15" t="s">
        <v>16</v>
      </c>
      <c r="D20" s="19">
        <v>1</v>
      </c>
      <c r="E20" s="23"/>
      <c r="F20" s="23"/>
      <c r="G20" s="23">
        <f t="shared" si="0"/>
        <v>0</v>
      </c>
      <c r="H20" s="19"/>
    </row>
    <row r="21" spans="1:8" s="2" customFormat="1" ht="15">
      <c r="A21" s="17" t="s">
        <v>189</v>
      </c>
      <c r="B21" s="33" t="s">
        <v>106</v>
      </c>
      <c r="C21" s="15" t="s">
        <v>16</v>
      </c>
      <c r="D21" s="19">
        <v>1</v>
      </c>
      <c r="E21" s="23"/>
      <c r="F21" s="23"/>
      <c r="G21" s="23">
        <f t="shared" si="0"/>
        <v>0</v>
      </c>
      <c r="H21" s="19"/>
    </row>
    <row r="22" spans="1:8" s="2" customFormat="1" ht="15">
      <c r="A22" s="17" t="s">
        <v>190</v>
      </c>
      <c r="B22" s="33" t="s">
        <v>109</v>
      </c>
      <c r="C22" s="15" t="s">
        <v>16</v>
      </c>
      <c r="D22" s="19">
        <v>1</v>
      </c>
      <c r="E22" s="23"/>
      <c r="F22" s="23"/>
      <c r="G22" s="23">
        <f t="shared" si="0"/>
        <v>0</v>
      </c>
      <c r="H22" s="19"/>
    </row>
    <row r="23" spans="1:8" s="2" customFormat="1" ht="15">
      <c r="A23" s="17" t="s">
        <v>191</v>
      </c>
      <c r="B23" s="33" t="s">
        <v>107</v>
      </c>
      <c r="C23" s="15" t="s">
        <v>16</v>
      </c>
      <c r="D23" s="19">
        <v>1</v>
      </c>
      <c r="E23" s="23"/>
      <c r="F23" s="23"/>
      <c r="G23" s="23">
        <f t="shared" si="0"/>
        <v>0</v>
      </c>
      <c r="H23" s="19"/>
    </row>
    <row r="24" spans="1:8" s="2" customFormat="1" ht="15">
      <c r="A24" s="17" t="s">
        <v>192</v>
      </c>
      <c r="B24" s="18" t="s">
        <v>48</v>
      </c>
      <c r="C24" s="15"/>
      <c r="D24" s="19"/>
      <c r="E24" s="23">
        <f>E25+E26</f>
        <v>0</v>
      </c>
      <c r="F24" s="23">
        <f>F25+F26</f>
        <v>0</v>
      </c>
      <c r="G24" s="23">
        <f>G25+G26</f>
        <v>0</v>
      </c>
      <c r="H24" s="19"/>
    </row>
    <row r="25" spans="1:8" s="4" customFormat="1" ht="15">
      <c r="A25" s="55"/>
      <c r="B25" s="34"/>
      <c r="C25" s="160"/>
      <c r="D25" s="35"/>
      <c r="E25" s="36"/>
      <c r="F25" s="36"/>
      <c r="G25" s="36">
        <f>E25+F25</f>
        <v>0</v>
      </c>
      <c r="H25" s="35"/>
    </row>
    <row r="26" spans="1:8" s="4" customFormat="1" ht="15">
      <c r="A26" s="55"/>
      <c r="B26" s="34"/>
      <c r="C26" s="160" t="s">
        <v>9</v>
      </c>
      <c r="D26" s="35"/>
      <c r="E26" s="161"/>
      <c r="F26" s="36"/>
      <c r="G26" s="36">
        <f>E26+F26</f>
        <v>0</v>
      </c>
      <c r="H26" s="35"/>
    </row>
    <row r="27" spans="1:8" s="2" customFormat="1" ht="17.25" customHeight="1">
      <c r="A27" s="61" t="s">
        <v>33</v>
      </c>
      <c r="B27" s="62"/>
      <c r="C27" s="170"/>
      <c r="D27" s="135"/>
      <c r="E27" s="171">
        <f>E11+E12+E13+E14+E15+E16+E17+E18+E19+E24+E20+E21+E22+E23</f>
        <v>62762.12999999999</v>
      </c>
      <c r="F27" s="171">
        <f>F11+F12+F13+F14+F15+F16+F17+F18+F19+F24+F20+F21+F22+F23</f>
        <v>590</v>
      </c>
      <c r="G27" s="171">
        <f>G11+G12+G13+G14+G15+G16+G17+G18+G19+G24+G20+G21+G22+G23</f>
        <v>63352.12999999999</v>
      </c>
      <c r="H27" s="41"/>
    </row>
    <row r="28" s="2" customFormat="1" ht="8.25" customHeight="1">
      <c r="A28" s="53"/>
    </row>
    <row r="29" spans="1:8" s="2" customFormat="1" ht="15">
      <c r="A29" s="148" t="s">
        <v>32</v>
      </c>
      <c r="B29" s="148"/>
      <c r="C29" s="148"/>
      <c r="D29" s="148"/>
      <c r="E29" s="148"/>
      <c r="F29" s="148"/>
      <c r="G29" s="148"/>
      <c r="H29" s="148"/>
    </row>
    <row r="30" spans="1:8" s="2" customFormat="1" ht="36.75" customHeight="1">
      <c r="A30" s="17" t="s">
        <v>3</v>
      </c>
      <c r="B30" s="15" t="s">
        <v>40</v>
      </c>
      <c r="C30" s="15" t="s">
        <v>5</v>
      </c>
      <c r="D30" s="15" t="s">
        <v>6</v>
      </c>
      <c r="E30" s="16" t="s">
        <v>17</v>
      </c>
      <c r="F30" s="16" t="s">
        <v>39</v>
      </c>
      <c r="G30" s="15" t="s">
        <v>18</v>
      </c>
      <c r="H30" s="15" t="s">
        <v>7</v>
      </c>
    </row>
    <row r="31" spans="1:8" s="2" customFormat="1" ht="25.5" customHeight="1">
      <c r="A31" s="17" t="s">
        <v>34</v>
      </c>
      <c r="B31" s="18" t="s">
        <v>150</v>
      </c>
      <c r="C31" s="15" t="s">
        <v>16</v>
      </c>
      <c r="D31" s="19">
        <v>1</v>
      </c>
      <c r="E31" s="23">
        <v>23365.81</v>
      </c>
      <c r="F31" s="23">
        <v>7492</v>
      </c>
      <c r="G31" s="23">
        <f aca="true" t="shared" si="1" ref="G31:G37">E31+F31</f>
        <v>30857.81</v>
      </c>
      <c r="H31" s="19"/>
    </row>
    <row r="32" spans="1:8" s="2" customFormat="1" ht="26.25" customHeight="1">
      <c r="A32" s="17" t="s">
        <v>35</v>
      </c>
      <c r="B32" s="18" t="s">
        <v>151</v>
      </c>
      <c r="C32" s="15" t="s">
        <v>16</v>
      </c>
      <c r="D32" s="19">
        <v>1</v>
      </c>
      <c r="E32" s="23">
        <v>4086.35</v>
      </c>
      <c r="F32" s="23">
        <v>476.9</v>
      </c>
      <c r="G32" s="23">
        <f t="shared" si="1"/>
        <v>4563.25</v>
      </c>
      <c r="H32" s="19"/>
    </row>
    <row r="33" spans="1:8" s="2" customFormat="1" ht="15">
      <c r="A33" s="17" t="s">
        <v>36</v>
      </c>
      <c r="B33" s="155" t="s">
        <v>129</v>
      </c>
      <c r="C33" s="15"/>
      <c r="D33" s="19"/>
      <c r="E33" s="23"/>
      <c r="F33" s="23"/>
      <c r="G33" s="23">
        <f t="shared" si="1"/>
        <v>0</v>
      </c>
      <c r="H33" s="19"/>
    </row>
    <row r="34" spans="1:8" s="2" customFormat="1" ht="15">
      <c r="A34" s="17" t="s">
        <v>37</v>
      </c>
      <c r="B34" s="18" t="s">
        <v>53</v>
      </c>
      <c r="C34" s="15" t="s">
        <v>16</v>
      </c>
      <c r="D34" s="19">
        <v>1</v>
      </c>
      <c r="E34" s="23"/>
      <c r="F34" s="23"/>
      <c r="G34" s="23">
        <f t="shared" si="1"/>
        <v>0</v>
      </c>
      <c r="H34" s="19"/>
    </row>
    <row r="35" spans="1:8" s="2" customFormat="1" ht="15">
      <c r="A35" s="17" t="s">
        <v>137</v>
      </c>
      <c r="B35" s="18" t="s">
        <v>48</v>
      </c>
      <c r="C35" s="15" t="s">
        <v>9</v>
      </c>
      <c r="D35" s="19">
        <v>1</v>
      </c>
      <c r="E35" s="23">
        <f>E36+E37</f>
        <v>0</v>
      </c>
      <c r="F35" s="23">
        <f>F36+F37</f>
        <v>0</v>
      </c>
      <c r="G35" s="23">
        <f t="shared" si="1"/>
        <v>0</v>
      </c>
      <c r="H35" s="19"/>
    </row>
    <row r="36" spans="1:8" s="4" customFormat="1" ht="15">
      <c r="A36" s="55"/>
      <c r="B36" s="34"/>
      <c r="C36" s="160"/>
      <c r="D36" s="35"/>
      <c r="E36" s="36"/>
      <c r="F36" s="36"/>
      <c r="G36" s="36">
        <f t="shared" si="1"/>
        <v>0</v>
      </c>
      <c r="H36" s="35"/>
    </row>
    <row r="37" spans="1:9" s="4" customFormat="1" ht="15">
      <c r="A37" s="55"/>
      <c r="B37" s="34"/>
      <c r="C37" s="160"/>
      <c r="D37" s="35"/>
      <c r="E37" s="36"/>
      <c r="F37" s="36"/>
      <c r="G37" s="36">
        <f t="shared" si="1"/>
        <v>0</v>
      </c>
      <c r="H37" s="35"/>
      <c r="I37" s="4" t="s">
        <v>97</v>
      </c>
    </row>
    <row r="38" spans="1:8" s="2" customFormat="1" ht="15">
      <c r="A38" s="227" t="s">
        <v>10</v>
      </c>
      <c r="B38" s="228"/>
      <c r="C38" s="229"/>
      <c r="D38" s="41"/>
      <c r="E38" s="171">
        <f>E31+E32+E33+E34+E35</f>
        <v>27452.16</v>
      </c>
      <c r="F38" s="171">
        <f>F31+F32+F33+F34+F35</f>
        <v>7968.9</v>
      </c>
      <c r="G38" s="171">
        <f>G31+G32+G33+G34+G35</f>
        <v>35421.06</v>
      </c>
      <c r="H38" s="41"/>
    </row>
    <row r="39" s="2" customFormat="1" ht="9.75" customHeight="1">
      <c r="A39" s="53"/>
    </row>
    <row r="40" spans="1:8" s="2" customFormat="1" ht="15">
      <c r="A40" s="219" t="s">
        <v>38</v>
      </c>
      <c r="B40" s="219"/>
      <c r="C40" s="219"/>
      <c r="D40" s="219"/>
      <c r="E40" s="219"/>
      <c r="F40" s="219"/>
      <c r="G40" s="219"/>
      <c r="H40" s="219"/>
    </row>
    <row r="41" spans="1:8" s="2" customFormat="1" ht="36" customHeight="1">
      <c r="A41" s="17" t="s">
        <v>3</v>
      </c>
      <c r="B41" s="15" t="s">
        <v>40</v>
      </c>
      <c r="C41" s="15" t="s">
        <v>5</v>
      </c>
      <c r="D41" s="15" t="s">
        <v>6</v>
      </c>
      <c r="E41" s="16" t="s">
        <v>17</v>
      </c>
      <c r="F41" s="16" t="s">
        <v>39</v>
      </c>
      <c r="G41" s="15" t="s">
        <v>18</v>
      </c>
      <c r="H41" s="15" t="s">
        <v>7</v>
      </c>
    </row>
    <row r="42" spans="1:8" s="2" customFormat="1" ht="26.25" customHeight="1">
      <c r="A42" s="17" t="s">
        <v>42</v>
      </c>
      <c r="B42" s="18" t="s">
        <v>153</v>
      </c>
      <c r="C42" s="15" t="s">
        <v>16</v>
      </c>
      <c r="D42" s="15">
        <v>1</v>
      </c>
      <c r="E42" s="25">
        <v>2152.21</v>
      </c>
      <c r="F42" s="25">
        <v>8070</v>
      </c>
      <c r="G42" s="26">
        <f aca="true" t="shared" si="2" ref="G42:G47">E42+F42</f>
        <v>10222.21</v>
      </c>
      <c r="H42" s="19"/>
    </row>
    <row r="43" spans="1:8" s="2" customFormat="1" ht="15">
      <c r="A43" s="17"/>
      <c r="B43" s="155" t="s">
        <v>129</v>
      </c>
      <c r="C43" s="15"/>
      <c r="D43" s="15"/>
      <c r="E43" s="25"/>
      <c r="F43" s="25">
        <v>65</v>
      </c>
      <c r="G43" s="26">
        <f t="shared" si="2"/>
        <v>65</v>
      </c>
      <c r="H43" s="19"/>
    </row>
    <row r="44" spans="1:8" s="2" customFormat="1" ht="15">
      <c r="A44" s="17" t="s">
        <v>43</v>
      </c>
      <c r="B44" s="18" t="s">
        <v>48</v>
      </c>
      <c r="C44" s="15"/>
      <c r="D44" s="15"/>
      <c r="E44" s="25">
        <f>E45+E46</f>
        <v>123220</v>
      </c>
      <c r="F44" s="25"/>
      <c r="G44" s="26">
        <f t="shared" si="2"/>
        <v>123220</v>
      </c>
      <c r="H44" s="19"/>
    </row>
    <row r="45" spans="1:11" s="2" customFormat="1" ht="15">
      <c r="A45" s="17"/>
      <c r="B45" s="18" t="s">
        <v>205</v>
      </c>
      <c r="C45" s="15"/>
      <c r="D45" s="19"/>
      <c r="E45" s="23">
        <f>96640+14080</f>
        <v>110720</v>
      </c>
      <c r="F45" s="26"/>
      <c r="G45" s="37">
        <f t="shared" si="2"/>
        <v>110720</v>
      </c>
      <c r="H45" s="19"/>
      <c r="K45" s="12">
        <f>F27+F38+F47</f>
        <v>16693.9</v>
      </c>
    </row>
    <row r="46" spans="1:8" s="2" customFormat="1" ht="24.75">
      <c r="A46" s="17"/>
      <c r="B46" s="34" t="s">
        <v>204</v>
      </c>
      <c r="C46" s="19"/>
      <c r="D46" s="19"/>
      <c r="E46" s="36">
        <v>12500</v>
      </c>
      <c r="F46" s="26"/>
      <c r="G46" s="37">
        <f t="shared" si="2"/>
        <v>12500</v>
      </c>
      <c r="H46" s="19"/>
    </row>
    <row r="47" spans="1:8" s="2" customFormat="1" ht="15">
      <c r="A47" s="211" t="s">
        <v>41</v>
      </c>
      <c r="B47" s="212"/>
      <c r="C47" s="213"/>
      <c r="D47" s="41"/>
      <c r="E47" s="42">
        <f>E42+E44</f>
        <v>125372.21</v>
      </c>
      <c r="F47" s="44">
        <f>SUM(F42:F44)</f>
        <v>8135</v>
      </c>
      <c r="G47" s="42">
        <f t="shared" si="2"/>
        <v>133507.21000000002</v>
      </c>
      <c r="H47" s="41"/>
    </row>
    <row r="48" spans="1:8" s="2" customFormat="1" ht="7.5" customHeight="1">
      <c r="A48" s="54"/>
      <c r="B48" s="8"/>
      <c r="C48" s="8"/>
      <c r="D48" s="9"/>
      <c r="E48" s="9"/>
      <c r="F48" s="10"/>
      <c r="G48" s="9"/>
      <c r="H48" s="11"/>
    </row>
    <row r="49" spans="1:8" s="7" customFormat="1" ht="15" customHeight="1">
      <c r="A49" s="219" t="s">
        <v>154</v>
      </c>
      <c r="B49" s="219"/>
      <c r="C49" s="219"/>
      <c r="D49" s="219"/>
      <c r="E49" s="219"/>
      <c r="F49" s="219"/>
      <c r="G49" s="219"/>
      <c r="H49" s="58"/>
    </row>
    <row r="50" spans="1:7" s="2" customFormat="1" ht="24.75">
      <c r="A50" s="17" t="s">
        <v>3</v>
      </c>
      <c r="B50" s="15" t="s">
        <v>4</v>
      </c>
      <c r="C50" s="15" t="s">
        <v>5</v>
      </c>
      <c r="D50" s="15" t="s">
        <v>6</v>
      </c>
      <c r="E50" s="16" t="s">
        <v>45</v>
      </c>
      <c r="F50" s="220" t="s">
        <v>46</v>
      </c>
      <c r="G50" s="221"/>
    </row>
    <row r="51" spans="1:7" s="2" customFormat="1" ht="25.5" customHeight="1">
      <c r="A51" s="17" t="s">
        <v>67</v>
      </c>
      <c r="B51" s="27" t="s">
        <v>152</v>
      </c>
      <c r="C51" s="29" t="s">
        <v>16</v>
      </c>
      <c r="D51" s="28">
        <v>1</v>
      </c>
      <c r="E51" s="30">
        <f>5883.8*2.274</f>
        <v>13379.7612</v>
      </c>
      <c r="F51" s="30"/>
      <c r="G51" s="30"/>
    </row>
    <row r="52" spans="1:7" s="2" customFormat="1" ht="15">
      <c r="A52" s="17" t="s">
        <v>68</v>
      </c>
      <c r="B52" s="28" t="s">
        <v>54</v>
      </c>
      <c r="C52" s="29" t="s">
        <v>16</v>
      </c>
      <c r="D52" s="28">
        <v>1</v>
      </c>
      <c r="E52" s="30">
        <f>5883.8*0.4</f>
        <v>2353.52</v>
      </c>
      <c r="F52" s="30"/>
      <c r="G52" s="30"/>
    </row>
    <row r="53" spans="1:7" s="2" customFormat="1" ht="15">
      <c r="A53" s="17" t="s">
        <v>69</v>
      </c>
      <c r="B53" s="28" t="s">
        <v>55</v>
      </c>
      <c r="C53" s="29" t="s">
        <v>16</v>
      </c>
      <c r="D53" s="28">
        <v>1</v>
      </c>
      <c r="E53" s="30">
        <f>5883.8*0.21</f>
        <v>1235.598</v>
      </c>
      <c r="F53" s="30"/>
      <c r="G53" s="30"/>
    </row>
    <row r="54" spans="1:7" s="2" customFormat="1" ht="15">
      <c r="A54" s="17" t="s">
        <v>70</v>
      </c>
      <c r="B54" s="28" t="s">
        <v>56</v>
      </c>
      <c r="C54" s="29" t="s">
        <v>16</v>
      </c>
      <c r="D54" s="28">
        <v>1</v>
      </c>
      <c r="E54" s="30">
        <v>2465.44</v>
      </c>
      <c r="F54" s="30"/>
      <c r="G54" s="30"/>
    </row>
    <row r="55" spans="1:7" s="2" customFormat="1" ht="15">
      <c r="A55" s="17" t="s">
        <v>72</v>
      </c>
      <c r="B55" s="18" t="s">
        <v>75</v>
      </c>
      <c r="C55" s="29" t="s">
        <v>16</v>
      </c>
      <c r="D55" s="28">
        <v>1</v>
      </c>
      <c r="E55" s="30">
        <f>E56+E57+E58+E59+E60+E61+E62+E63+E64</f>
        <v>2731.3799999999997</v>
      </c>
      <c r="F55" s="30"/>
      <c r="G55" s="30"/>
    </row>
    <row r="56" spans="1:7" s="4" customFormat="1" ht="15">
      <c r="A56" s="55"/>
      <c r="B56" s="34" t="s">
        <v>64</v>
      </c>
      <c r="C56" s="29" t="s">
        <v>16</v>
      </c>
      <c r="D56" s="28">
        <v>1</v>
      </c>
      <c r="E56" s="36">
        <v>533.23</v>
      </c>
      <c r="F56" s="37"/>
      <c r="G56" s="36"/>
    </row>
    <row r="57" spans="1:11" s="4" customFormat="1" ht="15">
      <c r="A57" s="55"/>
      <c r="B57" s="34" t="s">
        <v>65</v>
      </c>
      <c r="C57" s="29" t="s">
        <v>16</v>
      </c>
      <c r="D57" s="28">
        <v>1</v>
      </c>
      <c r="E57" s="36">
        <v>343.87</v>
      </c>
      <c r="F57" s="37"/>
      <c r="G57" s="36"/>
      <c r="J57" s="38"/>
      <c r="K57" s="39"/>
    </row>
    <row r="58" spans="1:7" s="4" customFormat="1" ht="24.75">
      <c r="A58" s="55"/>
      <c r="B58" s="34" t="s">
        <v>66</v>
      </c>
      <c r="C58" s="29" t="s">
        <v>16</v>
      </c>
      <c r="D58" s="28">
        <v>1</v>
      </c>
      <c r="E58" s="36">
        <v>298.5</v>
      </c>
      <c r="F58" s="37"/>
      <c r="G58" s="36"/>
    </row>
    <row r="59" spans="1:7" s="4" customFormat="1" ht="15">
      <c r="A59" s="55"/>
      <c r="B59" s="34" t="s">
        <v>71</v>
      </c>
      <c r="C59" s="29" t="s">
        <v>16</v>
      </c>
      <c r="D59" s="28">
        <v>1</v>
      </c>
      <c r="E59" s="35">
        <v>865.79</v>
      </c>
      <c r="F59" s="40"/>
      <c r="G59" s="35"/>
    </row>
    <row r="60" spans="1:7" s="4" customFormat="1" ht="15">
      <c r="A60" s="55"/>
      <c r="B60" s="34" t="s">
        <v>76</v>
      </c>
      <c r="C60" s="29" t="s">
        <v>16</v>
      </c>
      <c r="D60" s="28">
        <v>1</v>
      </c>
      <c r="E60" s="35"/>
      <c r="F60" s="40"/>
      <c r="G60" s="35"/>
    </row>
    <row r="61" spans="1:7" s="4" customFormat="1" ht="15">
      <c r="A61" s="55"/>
      <c r="B61" s="34" t="s">
        <v>74</v>
      </c>
      <c r="C61" s="29" t="s">
        <v>16</v>
      </c>
      <c r="D61" s="28">
        <v>1</v>
      </c>
      <c r="E61" s="35">
        <v>659.87</v>
      </c>
      <c r="F61" s="40"/>
      <c r="G61" s="35"/>
    </row>
    <row r="62" spans="1:7" s="4" customFormat="1" ht="15">
      <c r="A62" s="55"/>
      <c r="B62" s="34" t="s">
        <v>77</v>
      </c>
      <c r="C62" s="29" t="s">
        <v>16</v>
      </c>
      <c r="D62" s="28">
        <v>1</v>
      </c>
      <c r="E62" s="35">
        <v>30.12</v>
      </c>
      <c r="F62" s="40"/>
      <c r="G62" s="35"/>
    </row>
    <row r="63" spans="1:7" s="4" customFormat="1" ht="15">
      <c r="A63" s="55"/>
      <c r="B63" s="34" t="s">
        <v>78</v>
      </c>
      <c r="C63" s="29" t="s">
        <v>16</v>
      </c>
      <c r="D63" s="28">
        <v>1</v>
      </c>
      <c r="E63" s="35"/>
      <c r="F63" s="40"/>
      <c r="G63" s="35"/>
    </row>
    <row r="64" spans="1:9" s="4" customFormat="1" ht="15">
      <c r="A64" s="55"/>
      <c r="B64" s="34"/>
      <c r="C64" s="35"/>
      <c r="D64" s="35"/>
      <c r="E64" s="35"/>
      <c r="F64" s="40"/>
      <c r="G64" s="35"/>
      <c r="I64" s="39"/>
    </row>
    <row r="65" spans="1:7" s="2" customFormat="1" ht="15">
      <c r="A65" s="180" t="s">
        <v>155</v>
      </c>
      <c r="B65" s="181"/>
      <c r="C65" s="182"/>
      <c r="D65" s="41"/>
      <c r="E65" s="42">
        <f>E51+E52+E53+E54+E55</f>
        <v>22165.699200000003</v>
      </c>
      <c r="F65" s="43"/>
      <c r="G65" s="41"/>
    </row>
    <row r="66" spans="1:7" s="52" customFormat="1" ht="25.5">
      <c r="A66" s="56" t="s">
        <v>156</v>
      </c>
      <c r="B66" s="47" t="s">
        <v>57</v>
      </c>
      <c r="C66" s="48" t="s">
        <v>16</v>
      </c>
      <c r="D66" s="49">
        <v>1</v>
      </c>
      <c r="E66" s="51">
        <v>4448.5</v>
      </c>
      <c r="F66" s="50"/>
      <c r="G66" s="51"/>
    </row>
    <row r="67" spans="1:7" s="46" customFormat="1" ht="15" customHeight="1">
      <c r="A67" s="222" t="s">
        <v>157</v>
      </c>
      <c r="B67" s="223"/>
      <c r="C67" s="223"/>
      <c r="D67" s="223"/>
      <c r="E67" s="223"/>
      <c r="F67" s="223"/>
      <c r="G67" s="224"/>
    </row>
    <row r="68" spans="1:7" s="2" customFormat="1" ht="33.75" customHeight="1">
      <c r="A68" s="17" t="s">
        <v>3</v>
      </c>
      <c r="B68" s="15" t="s">
        <v>4</v>
      </c>
      <c r="C68" s="15" t="s">
        <v>5</v>
      </c>
      <c r="D68" s="15" t="s">
        <v>6</v>
      </c>
      <c r="E68" s="16" t="s">
        <v>45</v>
      </c>
      <c r="F68" s="220" t="s">
        <v>46</v>
      </c>
      <c r="G68" s="221"/>
    </row>
    <row r="69" spans="1:7" s="2" customFormat="1" ht="25.5" customHeight="1">
      <c r="A69" s="17"/>
      <c r="B69" s="33" t="s">
        <v>58</v>
      </c>
      <c r="C69" s="29" t="s">
        <v>16</v>
      </c>
      <c r="D69" s="28">
        <v>1</v>
      </c>
      <c r="E69" s="30">
        <v>45046.43</v>
      </c>
      <c r="F69" s="30"/>
      <c r="G69" s="30"/>
    </row>
    <row r="70" spans="1:7" s="2" customFormat="1" ht="15">
      <c r="A70" s="17"/>
      <c r="B70" s="33" t="s">
        <v>59</v>
      </c>
      <c r="C70" s="29" t="s">
        <v>16</v>
      </c>
      <c r="D70" s="28">
        <v>1</v>
      </c>
      <c r="E70" s="30">
        <v>81544.97</v>
      </c>
      <c r="F70" s="30"/>
      <c r="G70" s="30"/>
    </row>
    <row r="71" spans="1:7" s="2" customFormat="1" ht="15">
      <c r="A71" s="17"/>
      <c r="B71" s="33" t="s">
        <v>60</v>
      </c>
      <c r="C71" s="29" t="s">
        <v>16</v>
      </c>
      <c r="D71" s="28">
        <v>1</v>
      </c>
      <c r="E71" s="30">
        <v>31138.89</v>
      </c>
      <c r="F71" s="30"/>
      <c r="G71" s="30"/>
    </row>
    <row r="72" spans="1:7" s="2" customFormat="1" ht="15">
      <c r="A72" s="17"/>
      <c r="B72" s="33" t="s">
        <v>61</v>
      </c>
      <c r="C72" s="29" t="s">
        <v>16</v>
      </c>
      <c r="D72" s="28">
        <v>1</v>
      </c>
      <c r="E72" s="30">
        <v>11547.2</v>
      </c>
      <c r="F72" s="30"/>
      <c r="G72" s="30"/>
    </row>
    <row r="73" spans="1:9" s="2" customFormat="1" ht="15">
      <c r="A73" s="17"/>
      <c r="B73" s="33" t="s">
        <v>62</v>
      </c>
      <c r="C73" s="29" t="s">
        <v>16</v>
      </c>
      <c r="D73" s="19">
        <v>1</v>
      </c>
      <c r="E73" s="30">
        <v>14926.76</v>
      </c>
      <c r="F73" s="26"/>
      <c r="G73" s="23"/>
      <c r="I73" s="13">
        <f>E72+E73</f>
        <v>26473.96</v>
      </c>
    </row>
    <row r="74" spans="1:7" s="2" customFormat="1" ht="15">
      <c r="A74" s="17"/>
      <c r="B74" s="18"/>
      <c r="C74" s="29"/>
      <c r="D74" s="28"/>
      <c r="E74" s="30"/>
      <c r="F74" s="30"/>
      <c r="G74" s="30"/>
    </row>
    <row r="75" spans="1:7" s="2" customFormat="1" ht="15">
      <c r="A75" s="215" t="s">
        <v>63</v>
      </c>
      <c r="B75" s="216"/>
      <c r="C75" s="217"/>
      <c r="D75" s="19"/>
      <c r="E75" s="30">
        <f>SUM(E69:E74)</f>
        <v>184204.25</v>
      </c>
      <c r="F75" s="21"/>
      <c r="G75" s="19"/>
    </row>
    <row r="76" spans="1:7" s="2" customFormat="1" ht="15">
      <c r="A76" s="54"/>
      <c r="B76" s="8"/>
      <c r="C76" s="8"/>
      <c r="D76" s="31"/>
      <c r="E76" s="45"/>
      <c r="F76" s="32"/>
      <c r="G76" s="31"/>
    </row>
    <row r="77" spans="1:7" s="2" customFormat="1" ht="15">
      <c r="A77" s="54"/>
      <c r="B77" s="8"/>
      <c r="C77" s="8"/>
      <c r="D77" s="31"/>
      <c r="E77" s="45"/>
      <c r="F77" s="32"/>
      <c r="G77" s="31"/>
    </row>
    <row r="78" spans="1:7" s="2" customFormat="1" ht="15">
      <c r="A78" s="54"/>
      <c r="B78" s="8"/>
      <c r="C78" s="8"/>
      <c r="D78" s="31"/>
      <c r="E78" s="45"/>
      <c r="F78" s="32"/>
      <c r="G78" s="31"/>
    </row>
    <row r="79" spans="1:7" s="2" customFormat="1" ht="15">
      <c r="A79" s="54"/>
      <c r="B79" s="8"/>
      <c r="C79" s="8"/>
      <c r="D79" s="31"/>
      <c r="E79" s="45"/>
      <c r="F79" s="32"/>
      <c r="G79" s="31"/>
    </row>
    <row r="80" s="2" customFormat="1" ht="15">
      <c r="A80" s="53"/>
    </row>
    <row r="81" spans="1:7" s="2" customFormat="1" ht="15">
      <c r="A81" s="218" t="s">
        <v>11</v>
      </c>
      <c r="B81" s="218"/>
      <c r="C81" s="218"/>
      <c r="D81" s="218"/>
      <c r="E81" s="225">
        <f>G27+G38+G47+E65+E66+E75</f>
        <v>443098.84920000006</v>
      </c>
      <c r="F81" s="225"/>
      <c r="G81" s="225"/>
    </row>
    <row r="82" spans="1:7" s="2" customFormat="1" ht="15">
      <c r="A82" s="53"/>
      <c r="G82" s="13"/>
    </row>
    <row r="83" s="2" customFormat="1" ht="15">
      <c r="A83" s="53"/>
    </row>
    <row r="84" s="2" customFormat="1" ht="15">
      <c r="A84" s="53"/>
    </row>
    <row r="85" s="2" customFormat="1" ht="15">
      <c r="A85" s="53"/>
    </row>
    <row r="86" spans="1:5" s="2" customFormat="1" ht="15">
      <c r="A86" s="226" t="s">
        <v>47</v>
      </c>
      <c r="B86" s="226"/>
      <c r="E86" s="2" t="s">
        <v>12</v>
      </c>
    </row>
    <row r="87" spans="1:5" s="2" customFormat="1" ht="15">
      <c r="A87" s="226" t="s">
        <v>1</v>
      </c>
      <c r="B87" s="226"/>
      <c r="E87" s="2" t="s">
        <v>201</v>
      </c>
    </row>
    <row r="88" spans="1:5" s="2" customFormat="1" ht="30" customHeight="1">
      <c r="A88" s="214" t="s">
        <v>73</v>
      </c>
      <c r="B88" s="214"/>
      <c r="C88" s="22"/>
      <c r="E88" s="2" t="s">
        <v>202</v>
      </c>
    </row>
    <row r="89" s="2" customFormat="1" ht="15">
      <c r="A89" s="53"/>
    </row>
    <row r="90" s="2" customFormat="1" ht="15">
      <c r="A90" s="53"/>
    </row>
    <row r="91" s="2" customFormat="1" ht="15">
      <c r="A91" s="53"/>
    </row>
    <row r="92" s="2" customFormat="1" ht="15">
      <c r="A92" s="53"/>
    </row>
  </sheetData>
  <sheetProtection/>
  <mergeCells count="17">
    <mergeCell ref="A87:B87"/>
    <mergeCell ref="A88:B88"/>
    <mergeCell ref="A81:D81"/>
    <mergeCell ref="A1:B1"/>
    <mergeCell ref="A3:E3"/>
    <mergeCell ref="A5:H5"/>
    <mergeCell ref="A6:H6"/>
    <mergeCell ref="E81:G81"/>
    <mergeCell ref="A86:B86"/>
    <mergeCell ref="F50:G50"/>
    <mergeCell ref="A67:G67"/>
    <mergeCell ref="F68:G68"/>
    <mergeCell ref="A75:C75"/>
    <mergeCell ref="A38:C38"/>
    <mergeCell ref="A40:H40"/>
    <mergeCell ref="A47:C47"/>
    <mergeCell ref="A49:G49"/>
  </mergeCells>
  <printOptions/>
  <pageMargins left="0.54" right="0.24" top="0.58" bottom="0.65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5.140625" style="57" customWidth="1"/>
    <col min="2" max="2" width="34.140625" style="14" customWidth="1"/>
    <col min="3" max="3" width="7.00390625" style="14" customWidth="1"/>
    <col min="4" max="4" width="5.00390625" style="14" customWidth="1"/>
    <col min="5" max="5" width="11.421875" style="14" customWidth="1"/>
    <col min="6" max="6" width="10.57421875" style="14" customWidth="1"/>
    <col min="7" max="7" width="12.28125" style="14" customWidth="1"/>
    <col min="8" max="8" width="10.00390625" style="14" customWidth="1"/>
    <col min="9" max="16384" width="9.140625" style="14" customWidth="1"/>
  </cols>
  <sheetData>
    <row r="1" spans="1:5" s="2" customFormat="1" ht="15">
      <c r="A1" s="230" t="s">
        <v>0</v>
      </c>
      <c r="B1" s="230"/>
      <c r="C1" s="1" t="s">
        <v>200</v>
      </c>
      <c r="D1" s="1"/>
      <c r="E1" s="1"/>
    </row>
    <row r="2" spans="1:5" s="2" customFormat="1" ht="15">
      <c r="A2" s="60"/>
      <c r="B2" s="60"/>
      <c r="C2" s="1"/>
      <c r="D2" s="1"/>
      <c r="E2" s="1"/>
    </row>
    <row r="3" spans="1:7" s="2" customFormat="1" ht="15">
      <c r="A3" s="230" t="s">
        <v>8</v>
      </c>
      <c r="B3" s="230"/>
      <c r="C3" s="230"/>
      <c r="D3" s="230"/>
      <c r="E3" s="230"/>
      <c r="F3" s="3" t="s">
        <v>49</v>
      </c>
      <c r="G3" s="1"/>
    </row>
    <row r="4" s="2" customFormat="1" ht="15">
      <c r="A4" s="53"/>
    </row>
    <row r="5" spans="1:8" s="2" customFormat="1" ht="18.75">
      <c r="A5" s="231" t="s">
        <v>186</v>
      </c>
      <c r="B5" s="231"/>
      <c r="C5" s="231"/>
      <c r="D5" s="231"/>
      <c r="E5" s="231"/>
      <c r="F5" s="231"/>
      <c r="G5" s="231"/>
      <c r="H5" s="231"/>
    </row>
    <row r="6" spans="1:8" s="2" customFormat="1" ht="15">
      <c r="A6" s="214" t="s">
        <v>149</v>
      </c>
      <c r="B6" s="214"/>
      <c r="C6" s="214"/>
      <c r="D6" s="214"/>
      <c r="E6" s="214"/>
      <c r="F6" s="214"/>
      <c r="G6" s="214"/>
      <c r="H6" s="214"/>
    </row>
    <row r="7" spans="1:6" s="2" customFormat="1" ht="15">
      <c r="A7" s="53"/>
      <c r="B7" s="4" t="s">
        <v>2</v>
      </c>
      <c r="C7" s="4"/>
      <c r="D7" s="5" t="s">
        <v>187</v>
      </c>
      <c r="E7" s="4"/>
      <c r="F7" s="4"/>
    </row>
    <row r="8" s="2" customFormat="1" ht="7.5" customHeight="1">
      <c r="A8" s="53"/>
    </row>
    <row r="9" spans="1:9" s="2" customFormat="1" ht="15">
      <c r="A9" s="148" t="s">
        <v>23</v>
      </c>
      <c r="B9" s="148"/>
      <c r="C9" s="148"/>
      <c r="D9" s="148"/>
      <c r="E9" s="148"/>
      <c r="F9" s="148"/>
      <c r="G9" s="148"/>
      <c r="H9" s="7" t="s">
        <v>50</v>
      </c>
      <c r="I9" s="7"/>
    </row>
    <row r="10" spans="1:12" s="2" customFormat="1" ht="37.5" customHeight="1">
      <c r="A10" s="17" t="s">
        <v>3</v>
      </c>
      <c r="B10" s="15" t="s">
        <v>40</v>
      </c>
      <c r="C10" s="15" t="s">
        <v>5</v>
      </c>
      <c r="D10" s="15" t="s">
        <v>6</v>
      </c>
      <c r="E10" s="16" t="s">
        <v>17</v>
      </c>
      <c r="F10" s="16" t="s">
        <v>39</v>
      </c>
      <c r="G10" s="15" t="s">
        <v>18</v>
      </c>
      <c r="H10" s="15" t="s">
        <v>7</v>
      </c>
      <c r="L10" s="6"/>
    </row>
    <row r="11" spans="1:8" s="2" customFormat="1" ht="28.5" customHeight="1">
      <c r="A11" s="17" t="s">
        <v>24</v>
      </c>
      <c r="B11" s="18" t="s">
        <v>13</v>
      </c>
      <c r="C11" s="15" t="s">
        <v>16</v>
      </c>
      <c r="D11" s="19">
        <v>1</v>
      </c>
      <c r="E11" s="23">
        <v>14009.52</v>
      </c>
      <c r="F11" s="23"/>
      <c r="G11" s="23">
        <f aca="true" t="shared" si="0" ref="G11:G23">E11+F11</f>
        <v>14009.52</v>
      </c>
      <c r="H11" s="19"/>
    </row>
    <row r="12" spans="1:8" s="2" customFormat="1" ht="28.5" customHeight="1">
      <c r="A12" s="17" t="s">
        <v>25</v>
      </c>
      <c r="B12" s="18" t="s">
        <v>14</v>
      </c>
      <c r="C12" s="15" t="s">
        <v>16</v>
      </c>
      <c r="D12" s="19">
        <v>1</v>
      </c>
      <c r="E12" s="23"/>
      <c r="F12" s="23">
        <v>258</v>
      </c>
      <c r="G12" s="23">
        <f t="shared" si="0"/>
        <v>258</v>
      </c>
      <c r="H12" s="19"/>
    </row>
    <row r="13" spans="1:8" s="2" customFormat="1" ht="28.5" customHeight="1">
      <c r="A13" s="17" t="s">
        <v>26</v>
      </c>
      <c r="B13" s="18" t="s">
        <v>22</v>
      </c>
      <c r="C13" s="15" t="s">
        <v>16</v>
      </c>
      <c r="D13" s="19">
        <v>1</v>
      </c>
      <c r="E13" s="23">
        <v>0</v>
      </c>
      <c r="F13" s="23"/>
      <c r="G13" s="23">
        <f t="shared" si="0"/>
        <v>0</v>
      </c>
      <c r="H13" s="19"/>
    </row>
    <row r="14" spans="1:8" s="2" customFormat="1" ht="15">
      <c r="A14" s="17" t="s">
        <v>27</v>
      </c>
      <c r="B14" s="155" t="s">
        <v>129</v>
      </c>
      <c r="C14" s="158"/>
      <c r="D14" s="158"/>
      <c r="E14" s="158"/>
      <c r="F14" s="158">
        <v>124</v>
      </c>
      <c r="G14" s="23">
        <f t="shared" si="0"/>
        <v>124</v>
      </c>
      <c r="H14" s="19"/>
    </row>
    <row r="15" spans="1:8" s="2" customFormat="1" ht="15">
      <c r="A15" s="17" t="s">
        <v>28</v>
      </c>
      <c r="B15" s="18" t="s">
        <v>21</v>
      </c>
      <c r="C15" s="15" t="s">
        <v>16</v>
      </c>
      <c r="D15" s="19">
        <v>1</v>
      </c>
      <c r="E15" s="24">
        <v>25378.66</v>
      </c>
      <c r="F15" s="23"/>
      <c r="G15" s="23">
        <f t="shared" si="0"/>
        <v>25378.66</v>
      </c>
      <c r="H15" s="19"/>
    </row>
    <row r="16" spans="1:11" s="2" customFormat="1" ht="15">
      <c r="A16" s="17" t="s">
        <v>29</v>
      </c>
      <c r="B16" s="18" t="s">
        <v>19</v>
      </c>
      <c r="C16" s="15" t="s">
        <v>16</v>
      </c>
      <c r="D16" s="19">
        <v>1</v>
      </c>
      <c r="E16" s="20">
        <v>14415.31</v>
      </c>
      <c r="F16" s="23"/>
      <c r="G16" s="23">
        <f t="shared" si="0"/>
        <v>14415.31</v>
      </c>
      <c r="H16" s="19"/>
      <c r="K16" s="2" t="s">
        <v>97</v>
      </c>
    </row>
    <row r="17" spans="1:8" s="2" customFormat="1" ht="15">
      <c r="A17" s="17" t="s">
        <v>30</v>
      </c>
      <c r="B17" s="18" t="s">
        <v>20</v>
      </c>
      <c r="C17" s="15" t="s">
        <v>16</v>
      </c>
      <c r="D17" s="19">
        <v>1</v>
      </c>
      <c r="E17" s="23">
        <v>827.84</v>
      </c>
      <c r="F17" s="23"/>
      <c r="G17" s="23">
        <f t="shared" si="0"/>
        <v>827.84</v>
      </c>
      <c r="H17" s="19"/>
    </row>
    <row r="18" spans="1:8" s="2" customFormat="1" ht="15">
      <c r="A18" s="17" t="s">
        <v>31</v>
      </c>
      <c r="B18" s="18" t="s">
        <v>51</v>
      </c>
      <c r="C18" s="15" t="s">
        <v>16</v>
      </c>
      <c r="D18" s="19">
        <v>1</v>
      </c>
      <c r="E18" s="23">
        <f>999.88</f>
        <v>999.88</v>
      </c>
      <c r="F18" s="23"/>
      <c r="G18" s="23">
        <f t="shared" si="0"/>
        <v>999.88</v>
      </c>
      <c r="H18" s="19"/>
    </row>
    <row r="19" spans="1:8" s="2" customFormat="1" ht="15">
      <c r="A19" s="17" t="s">
        <v>134</v>
      </c>
      <c r="B19" s="18" t="s">
        <v>52</v>
      </c>
      <c r="C19" s="15" t="s">
        <v>16</v>
      </c>
      <c r="D19" s="19">
        <v>1</v>
      </c>
      <c r="E19" s="23">
        <v>3053</v>
      </c>
      <c r="F19" s="23"/>
      <c r="G19" s="23">
        <f t="shared" si="0"/>
        <v>3053</v>
      </c>
      <c r="H19" s="19"/>
    </row>
    <row r="20" spans="1:8" s="2" customFormat="1" ht="15">
      <c r="A20" s="17" t="s">
        <v>135</v>
      </c>
      <c r="B20" s="33" t="s">
        <v>105</v>
      </c>
      <c r="C20" s="15" t="s">
        <v>16</v>
      </c>
      <c r="D20" s="19">
        <v>1</v>
      </c>
      <c r="E20" s="23"/>
      <c r="F20" s="23"/>
      <c r="G20" s="23">
        <f t="shared" si="0"/>
        <v>0</v>
      </c>
      <c r="H20" s="19"/>
    </row>
    <row r="21" spans="1:8" s="2" customFormat="1" ht="15">
      <c r="A21" s="17" t="s">
        <v>189</v>
      </c>
      <c r="B21" s="33" t="s">
        <v>106</v>
      </c>
      <c r="C21" s="15" t="s">
        <v>16</v>
      </c>
      <c r="D21" s="19">
        <v>1</v>
      </c>
      <c r="E21" s="23"/>
      <c r="F21" s="23"/>
      <c r="G21" s="23">
        <f t="shared" si="0"/>
        <v>0</v>
      </c>
      <c r="H21" s="19"/>
    </row>
    <row r="22" spans="1:8" s="2" customFormat="1" ht="15">
      <c r="A22" s="17" t="s">
        <v>190</v>
      </c>
      <c r="B22" s="33" t="s">
        <v>109</v>
      </c>
      <c r="C22" s="15" t="s">
        <v>16</v>
      </c>
      <c r="D22" s="19">
        <v>1</v>
      </c>
      <c r="E22" s="23"/>
      <c r="F22" s="23"/>
      <c r="G22" s="23">
        <f t="shared" si="0"/>
        <v>0</v>
      </c>
      <c r="H22" s="19"/>
    </row>
    <row r="23" spans="1:8" s="2" customFormat="1" ht="15">
      <c r="A23" s="17" t="s">
        <v>191</v>
      </c>
      <c r="B23" s="33" t="s">
        <v>107</v>
      </c>
      <c r="C23" s="15" t="s">
        <v>16</v>
      </c>
      <c r="D23" s="19">
        <v>1</v>
      </c>
      <c r="E23" s="23"/>
      <c r="F23" s="23"/>
      <c r="G23" s="23">
        <f t="shared" si="0"/>
        <v>0</v>
      </c>
      <c r="H23" s="19"/>
    </row>
    <row r="24" spans="1:8" s="2" customFormat="1" ht="15">
      <c r="A24" s="17" t="s">
        <v>192</v>
      </c>
      <c r="B24" s="18" t="s">
        <v>48</v>
      </c>
      <c r="C24" s="15"/>
      <c r="D24" s="19"/>
      <c r="E24" s="23">
        <f>E25+E26</f>
        <v>0</v>
      </c>
      <c r="F24" s="23">
        <f>F25+F26</f>
        <v>0</v>
      </c>
      <c r="G24" s="23">
        <f>G25+G26</f>
        <v>0</v>
      </c>
      <c r="H24" s="19"/>
    </row>
    <row r="25" spans="1:8" s="4" customFormat="1" ht="15">
      <c r="A25" s="55"/>
      <c r="B25" s="34"/>
      <c r="C25" s="160"/>
      <c r="D25" s="35"/>
      <c r="E25" s="36"/>
      <c r="F25" s="36"/>
      <c r="G25" s="36">
        <f>E25+F25</f>
        <v>0</v>
      </c>
      <c r="H25" s="35"/>
    </row>
    <row r="26" spans="1:8" s="4" customFormat="1" ht="15">
      <c r="A26" s="55"/>
      <c r="B26" s="34"/>
      <c r="C26" s="160" t="s">
        <v>9</v>
      </c>
      <c r="D26" s="35"/>
      <c r="E26" s="161"/>
      <c r="F26" s="36"/>
      <c r="G26" s="36">
        <f>E26+F26</f>
        <v>0</v>
      </c>
      <c r="H26" s="35"/>
    </row>
    <row r="27" spans="1:8" s="2" customFormat="1" ht="17.25" customHeight="1">
      <c r="A27" s="61" t="s">
        <v>33</v>
      </c>
      <c r="B27" s="62"/>
      <c r="C27" s="170"/>
      <c r="D27" s="135"/>
      <c r="E27" s="171">
        <f>E11+E12+E13+E14+E15+E16+E17+E18+E19+E24+E20+E21+E22+E23</f>
        <v>58684.20999999999</v>
      </c>
      <c r="F27" s="171">
        <f>F11+F12+F13+F14+F15+F16+F17+F18+F19+F24+F20+F21+F22+F23</f>
        <v>382</v>
      </c>
      <c r="G27" s="171">
        <f>G11+G12+G13+G14+G15+G16+G17+G18+G19+G24+G20+G21+G22+G23</f>
        <v>59066.20999999999</v>
      </c>
      <c r="H27" s="41"/>
    </row>
    <row r="28" s="2" customFormat="1" ht="8.25" customHeight="1">
      <c r="A28" s="53"/>
    </row>
    <row r="29" spans="1:8" s="2" customFormat="1" ht="15">
      <c r="A29" s="148" t="s">
        <v>32</v>
      </c>
      <c r="B29" s="148"/>
      <c r="C29" s="148"/>
      <c r="D29" s="148"/>
      <c r="E29" s="148"/>
      <c r="F29" s="148"/>
      <c r="G29" s="148"/>
      <c r="H29" s="148"/>
    </row>
    <row r="30" spans="1:8" s="2" customFormat="1" ht="36.75" customHeight="1">
      <c r="A30" s="17" t="s">
        <v>3</v>
      </c>
      <c r="B30" s="15" t="s">
        <v>40</v>
      </c>
      <c r="C30" s="15" t="s">
        <v>5</v>
      </c>
      <c r="D30" s="15" t="s">
        <v>6</v>
      </c>
      <c r="E30" s="16" t="s">
        <v>17</v>
      </c>
      <c r="F30" s="16" t="s">
        <v>39</v>
      </c>
      <c r="G30" s="15" t="s">
        <v>18</v>
      </c>
      <c r="H30" s="15" t="s">
        <v>7</v>
      </c>
    </row>
    <row r="31" spans="1:8" s="2" customFormat="1" ht="25.5" customHeight="1">
      <c r="A31" s="17" t="s">
        <v>34</v>
      </c>
      <c r="B31" s="18" t="s">
        <v>150</v>
      </c>
      <c r="C31" s="15" t="s">
        <v>16</v>
      </c>
      <c r="D31" s="19">
        <v>1</v>
      </c>
      <c r="E31" s="23">
        <v>24053.37</v>
      </c>
      <c r="F31" s="23">
        <v>2740</v>
      </c>
      <c r="G31" s="23">
        <f aca="true" t="shared" si="1" ref="G31:G37">E31+F31</f>
        <v>26793.37</v>
      </c>
      <c r="H31" s="19"/>
    </row>
    <row r="32" spans="1:8" s="2" customFormat="1" ht="26.25" customHeight="1">
      <c r="A32" s="17" t="s">
        <v>35</v>
      </c>
      <c r="B32" s="18" t="s">
        <v>151</v>
      </c>
      <c r="C32" s="15" t="s">
        <v>16</v>
      </c>
      <c r="D32" s="19">
        <v>1</v>
      </c>
      <c r="E32" s="23">
        <v>4163.39</v>
      </c>
      <c r="F32" s="23">
        <v>2692.8</v>
      </c>
      <c r="G32" s="23">
        <f t="shared" si="1"/>
        <v>6856.1900000000005</v>
      </c>
      <c r="H32" s="19"/>
    </row>
    <row r="33" spans="1:8" s="2" customFormat="1" ht="15">
      <c r="A33" s="17" t="s">
        <v>36</v>
      </c>
      <c r="B33" s="155" t="s">
        <v>129</v>
      </c>
      <c r="C33" s="15"/>
      <c r="D33" s="19"/>
      <c r="E33" s="23"/>
      <c r="F33" s="23">
        <v>64</v>
      </c>
      <c r="G33" s="23">
        <f t="shared" si="1"/>
        <v>64</v>
      </c>
      <c r="H33" s="19"/>
    </row>
    <row r="34" spans="1:8" s="2" customFormat="1" ht="15">
      <c r="A34" s="17" t="s">
        <v>37</v>
      </c>
      <c r="B34" s="18" t="s">
        <v>53</v>
      </c>
      <c r="C34" s="15" t="s">
        <v>16</v>
      </c>
      <c r="D34" s="19">
        <v>1</v>
      </c>
      <c r="E34" s="23"/>
      <c r="F34" s="23"/>
      <c r="G34" s="23">
        <f t="shared" si="1"/>
        <v>0</v>
      </c>
      <c r="H34" s="19"/>
    </row>
    <row r="35" spans="1:8" s="2" customFormat="1" ht="15">
      <c r="A35" s="17" t="s">
        <v>137</v>
      </c>
      <c r="B35" s="18" t="s">
        <v>48</v>
      </c>
      <c r="C35" s="15" t="s">
        <v>9</v>
      </c>
      <c r="D35" s="19">
        <v>1</v>
      </c>
      <c r="E35" s="23">
        <f>E36+E37</f>
        <v>0</v>
      </c>
      <c r="F35" s="23">
        <f>F36+F37</f>
        <v>0</v>
      </c>
      <c r="G35" s="23">
        <f t="shared" si="1"/>
        <v>0</v>
      </c>
      <c r="H35" s="19"/>
    </row>
    <row r="36" spans="1:8" s="4" customFormat="1" ht="15">
      <c r="A36" s="55"/>
      <c r="B36" s="34"/>
      <c r="C36" s="160"/>
      <c r="D36" s="35"/>
      <c r="E36" s="36"/>
      <c r="F36" s="36"/>
      <c r="G36" s="36">
        <f t="shared" si="1"/>
        <v>0</v>
      </c>
      <c r="H36" s="35"/>
    </row>
    <row r="37" spans="1:9" s="4" customFormat="1" ht="15">
      <c r="A37" s="55"/>
      <c r="B37" s="34"/>
      <c r="C37" s="160"/>
      <c r="D37" s="35"/>
      <c r="E37" s="36"/>
      <c r="F37" s="36"/>
      <c r="G37" s="36">
        <f t="shared" si="1"/>
        <v>0</v>
      </c>
      <c r="H37" s="35"/>
      <c r="I37" s="4" t="s">
        <v>97</v>
      </c>
    </row>
    <row r="38" spans="1:8" s="2" customFormat="1" ht="15">
      <c r="A38" s="227" t="s">
        <v>10</v>
      </c>
      <c r="B38" s="228"/>
      <c r="C38" s="229"/>
      <c r="D38" s="41"/>
      <c r="E38" s="171">
        <f>E31+E32+E33+E34+E35</f>
        <v>28216.76</v>
      </c>
      <c r="F38" s="171">
        <f>F31+F32+F33+F34+F35</f>
        <v>5496.8</v>
      </c>
      <c r="G38" s="171">
        <f>G31+G32+G33+G34+G35</f>
        <v>33713.56</v>
      </c>
      <c r="H38" s="41"/>
    </row>
    <row r="39" s="2" customFormat="1" ht="9.75" customHeight="1">
      <c r="A39" s="53"/>
    </row>
    <row r="40" spans="1:8" s="2" customFormat="1" ht="15">
      <c r="A40" s="219" t="s">
        <v>38</v>
      </c>
      <c r="B40" s="219"/>
      <c r="C40" s="219"/>
      <c r="D40" s="219"/>
      <c r="E40" s="219"/>
      <c r="F40" s="219"/>
      <c r="G40" s="219"/>
      <c r="H40" s="219"/>
    </row>
    <row r="41" spans="1:8" s="2" customFormat="1" ht="36" customHeight="1">
      <c r="A41" s="17" t="s">
        <v>3</v>
      </c>
      <c r="B41" s="15" t="s">
        <v>40</v>
      </c>
      <c r="C41" s="15" t="s">
        <v>5</v>
      </c>
      <c r="D41" s="15" t="s">
        <v>6</v>
      </c>
      <c r="E41" s="16" t="s">
        <v>17</v>
      </c>
      <c r="F41" s="16" t="s">
        <v>39</v>
      </c>
      <c r="G41" s="15" t="s">
        <v>18</v>
      </c>
      <c r="H41" s="15" t="s">
        <v>7</v>
      </c>
    </row>
    <row r="42" spans="1:8" s="2" customFormat="1" ht="26.25" customHeight="1">
      <c r="A42" s="17" t="s">
        <v>42</v>
      </c>
      <c r="B42" s="18" t="s">
        <v>153</v>
      </c>
      <c r="C42" s="15" t="s">
        <v>16</v>
      </c>
      <c r="D42" s="15">
        <v>1</v>
      </c>
      <c r="E42" s="25">
        <v>2862.38</v>
      </c>
      <c r="F42" s="25">
        <v>1889.7</v>
      </c>
      <c r="G42" s="26">
        <f>E42+F42</f>
        <v>4752.08</v>
      </c>
      <c r="H42" s="19"/>
    </row>
    <row r="43" spans="1:8" s="2" customFormat="1" ht="15">
      <c r="A43" s="17"/>
      <c r="B43" s="155" t="s">
        <v>129</v>
      </c>
      <c r="C43" s="15"/>
      <c r="D43" s="15"/>
      <c r="E43" s="25"/>
      <c r="F43" s="25"/>
      <c r="G43" s="26">
        <f>E43+F43</f>
        <v>0</v>
      </c>
      <c r="H43" s="19"/>
    </row>
    <row r="44" spans="1:8" s="2" customFormat="1" ht="15">
      <c r="A44" s="17" t="s">
        <v>43</v>
      </c>
      <c r="B44" s="18" t="s">
        <v>48</v>
      </c>
      <c r="C44" s="15"/>
      <c r="D44" s="15"/>
      <c r="E44" s="25"/>
      <c r="F44" s="25"/>
      <c r="G44" s="26">
        <f>E44+F44</f>
        <v>0</v>
      </c>
      <c r="H44" s="19"/>
    </row>
    <row r="45" spans="1:11" s="2" customFormat="1" ht="24.75">
      <c r="A45" s="17"/>
      <c r="B45" s="18" t="s">
        <v>207</v>
      </c>
      <c r="C45" s="15"/>
      <c r="D45" s="19"/>
      <c r="E45" s="23">
        <v>3000</v>
      </c>
      <c r="F45" s="26"/>
      <c r="G45" s="37">
        <f>E45+F45</f>
        <v>3000</v>
      </c>
      <c r="H45" s="19"/>
      <c r="K45" s="12">
        <f>F27+F38+F47</f>
        <v>7768.5</v>
      </c>
    </row>
    <row r="46" spans="1:8" s="2" customFormat="1" ht="15">
      <c r="A46" s="17"/>
      <c r="B46" s="18" t="s">
        <v>208</v>
      </c>
      <c r="C46" s="19"/>
      <c r="D46" s="19"/>
      <c r="E46" s="23">
        <v>4160</v>
      </c>
      <c r="F46" s="26"/>
      <c r="G46" s="37">
        <f>E46+F46</f>
        <v>4160</v>
      </c>
      <c r="H46" s="19"/>
    </row>
    <row r="47" spans="1:8" s="2" customFormat="1" ht="15">
      <c r="A47" s="211" t="s">
        <v>41</v>
      </c>
      <c r="B47" s="212"/>
      <c r="C47" s="213"/>
      <c r="D47" s="41"/>
      <c r="E47" s="42">
        <f>SUM(E42:E46)</f>
        <v>10022.380000000001</v>
      </c>
      <c r="F47" s="44">
        <f>SUM(F42:F44)</f>
        <v>1889.7</v>
      </c>
      <c r="G47" s="42">
        <f>SUM(G42:G46)</f>
        <v>11912.08</v>
      </c>
      <c r="H47" s="41"/>
    </row>
    <row r="48" spans="1:8" s="2" customFormat="1" ht="7.5" customHeight="1">
      <c r="A48" s="54"/>
      <c r="B48" s="8"/>
      <c r="C48" s="8"/>
      <c r="D48" s="9"/>
      <c r="E48" s="9"/>
      <c r="F48" s="10"/>
      <c r="G48" s="9"/>
      <c r="H48" s="11"/>
    </row>
    <row r="49" spans="1:8" s="7" customFormat="1" ht="15" customHeight="1">
      <c r="A49" s="219" t="s">
        <v>154</v>
      </c>
      <c r="B49" s="219"/>
      <c r="C49" s="219"/>
      <c r="D49" s="219"/>
      <c r="E49" s="219"/>
      <c r="F49" s="219"/>
      <c r="G49" s="219"/>
      <c r="H49" s="58"/>
    </row>
    <row r="50" spans="1:7" s="2" customFormat="1" ht="24.75">
      <c r="A50" s="17" t="s">
        <v>3</v>
      </c>
      <c r="B50" s="15" t="s">
        <v>4</v>
      </c>
      <c r="C50" s="15" t="s">
        <v>5</v>
      </c>
      <c r="D50" s="15" t="s">
        <v>6</v>
      </c>
      <c r="E50" s="16" t="s">
        <v>45</v>
      </c>
      <c r="F50" s="220" t="s">
        <v>46</v>
      </c>
      <c r="G50" s="221"/>
    </row>
    <row r="51" spans="1:7" s="2" customFormat="1" ht="25.5" customHeight="1">
      <c r="A51" s="17" t="s">
        <v>67</v>
      </c>
      <c r="B51" s="27" t="s">
        <v>152</v>
      </c>
      <c r="C51" s="29" t="s">
        <v>16</v>
      </c>
      <c r="D51" s="28">
        <v>1</v>
      </c>
      <c r="E51" s="30">
        <f>5883.8*2.274</f>
        <v>13379.7612</v>
      </c>
      <c r="F51" s="30"/>
      <c r="G51" s="30"/>
    </row>
    <row r="52" spans="1:7" s="2" customFormat="1" ht="15">
      <c r="A52" s="17" t="s">
        <v>68</v>
      </c>
      <c r="B52" s="28" t="s">
        <v>54</v>
      </c>
      <c r="C52" s="29" t="s">
        <v>16</v>
      </c>
      <c r="D52" s="28">
        <v>1</v>
      </c>
      <c r="E52" s="30">
        <f>5883.8*0.4</f>
        <v>2353.52</v>
      </c>
      <c r="F52" s="30"/>
      <c r="G52" s="30"/>
    </row>
    <row r="53" spans="1:7" s="2" customFormat="1" ht="15">
      <c r="A53" s="17" t="s">
        <v>69</v>
      </c>
      <c r="B53" s="28" t="s">
        <v>55</v>
      </c>
      <c r="C53" s="29" t="s">
        <v>16</v>
      </c>
      <c r="D53" s="28">
        <v>1</v>
      </c>
      <c r="E53" s="30">
        <f>5883.8*0.21</f>
        <v>1235.598</v>
      </c>
      <c r="F53" s="30"/>
      <c r="G53" s="30"/>
    </row>
    <row r="54" spans="1:7" s="2" customFormat="1" ht="15">
      <c r="A54" s="17" t="s">
        <v>70</v>
      </c>
      <c r="B54" s="28" t="s">
        <v>56</v>
      </c>
      <c r="C54" s="29" t="s">
        <v>16</v>
      </c>
      <c r="D54" s="28">
        <v>1</v>
      </c>
      <c r="E54" s="30">
        <v>1899</v>
      </c>
      <c r="F54" s="30"/>
      <c r="G54" s="30"/>
    </row>
    <row r="55" spans="1:7" s="2" customFormat="1" ht="15">
      <c r="A55" s="17" t="s">
        <v>72</v>
      </c>
      <c r="B55" s="18" t="s">
        <v>75</v>
      </c>
      <c r="C55" s="29" t="s">
        <v>16</v>
      </c>
      <c r="D55" s="28">
        <v>1</v>
      </c>
      <c r="E55" s="30">
        <f>E56+E57+E58+E59+E60+E61+E62+E63+E64</f>
        <v>3923.41</v>
      </c>
      <c r="F55" s="30"/>
      <c r="G55" s="30"/>
    </row>
    <row r="56" spans="1:7" s="4" customFormat="1" ht="15">
      <c r="A56" s="55"/>
      <c r="B56" s="34" t="s">
        <v>64</v>
      </c>
      <c r="C56" s="29" t="s">
        <v>16</v>
      </c>
      <c r="D56" s="28">
        <v>1</v>
      </c>
      <c r="E56" s="36">
        <v>833.63</v>
      </c>
      <c r="F56" s="37"/>
      <c r="G56" s="36"/>
    </row>
    <row r="57" spans="1:11" s="4" customFormat="1" ht="15">
      <c r="A57" s="55"/>
      <c r="B57" s="34" t="s">
        <v>65</v>
      </c>
      <c r="C57" s="29" t="s">
        <v>16</v>
      </c>
      <c r="D57" s="28">
        <v>1</v>
      </c>
      <c r="E57" s="36">
        <v>557.49</v>
      </c>
      <c r="F57" s="37"/>
      <c r="G57" s="36"/>
      <c r="J57" s="38"/>
      <c r="K57" s="39"/>
    </row>
    <row r="58" spans="1:7" s="4" customFormat="1" ht="24.75">
      <c r="A58" s="55"/>
      <c r="B58" s="34" t="s">
        <v>66</v>
      </c>
      <c r="C58" s="29" t="s">
        <v>16</v>
      </c>
      <c r="D58" s="28">
        <v>1</v>
      </c>
      <c r="E58" s="36">
        <f>810.74+238.8</f>
        <v>1049.54</v>
      </c>
      <c r="F58" s="37"/>
      <c r="G58" s="36"/>
    </row>
    <row r="59" spans="1:7" s="4" customFormat="1" ht="15">
      <c r="A59" s="55"/>
      <c r="B59" s="34" t="s">
        <v>71</v>
      </c>
      <c r="C59" s="29" t="s">
        <v>16</v>
      </c>
      <c r="D59" s="28">
        <v>1</v>
      </c>
      <c r="E59" s="35">
        <v>865.79</v>
      </c>
      <c r="F59" s="40"/>
      <c r="G59" s="35"/>
    </row>
    <row r="60" spans="1:7" s="4" customFormat="1" ht="15">
      <c r="A60" s="55"/>
      <c r="B60" s="34" t="s">
        <v>76</v>
      </c>
      <c r="C60" s="29" t="s">
        <v>16</v>
      </c>
      <c r="D60" s="28">
        <v>1</v>
      </c>
      <c r="E60" s="35"/>
      <c r="F60" s="40"/>
      <c r="G60" s="35"/>
    </row>
    <row r="61" spans="1:7" s="4" customFormat="1" ht="15">
      <c r="A61" s="55"/>
      <c r="B61" s="34" t="s">
        <v>74</v>
      </c>
      <c r="C61" s="29" t="s">
        <v>16</v>
      </c>
      <c r="D61" s="28">
        <v>1</v>
      </c>
      <c r="E61" s="35">
        <v>586.57</v>
      </c>
      <c r="F61" s="40"/>
      <c r="G61" s="35"/>
    </row>
    <row r="62" spans="1:7" s="4" customFormat="1" ht="15">
      <c r="A62" s="55"/>
      <c r="B62" s="34" t="s">
        <v>77</v>
      </c>
      <c r="C62" s="29" t="s">
        <v>16</v>
      </c>
      <c r="D62" s="28">
        <v>1</v>
      </c>
      <c r="E62" s="35">
        <v>30.39</v>
      </c>
      <c r="F62" s="40"/>
      <c r="G62" s="35"/>
    </row>
    <row r="63" spans="1:7" s="4" customFormat="1" ht="15">
      <c r="A63" s="55"/>
      <c r="B63" s="34" t="s">
        <v>78</v>
      </c>
      <c r="C63" s="29" t="s">
        <v>16</v>
      </c>
      <c r="D63" s="28">
        <v>1</v>
      </c>
      <c r="E63" s="35"/>
      <c r="F63" s="40"/>
      <c r="G63" s="35"/>
    </row>
    <row r="64" spans="1:9" s="4" customFormat="1" ht="15">
      <c r="A64" s="55"/>
      <c r="B64" s="34"/>
      <c r="C64" s="35"/>
      <c r="D64" s="35"/>
      <c r="E64" s="35"/>
      <c r="F64" s="40"/>
      <c r="G64" s="35"/>
      <c r="I64" s="39"/>
    </row>
    <row r="65" spans="1:7" s="2" customFormat="1" ht="15">
      <c r="A65" s="180" t="s">
        <v>155</v>
      </c>
      <c r="B65" s="181"/>
      <c r="C65" s="182"/>
      <c r="D65" s="41"/>
      <c r="E65" s="42">
        <f>E51+E52+E53+E54+E55</f>
        <v>22791.289200000003</v>
      </c>
      <c r="F65" s="43"/>
      <c r="G65" s="41"/>
    </row>
    <row r="66" spans="1:7" s="52" customFormat="1" ht="25.5">
      <c r="A66" s="56" t="s">
        <v>156</v>
      </c>
      <c r="B66" s="47" t="s">
        <v>57</v>
      </c>
      <c r="C66" s="48" t="s">
        <v>16</v>
      </c>
      <c r="D66" s="49">
        <v>1</v>
      </c>
      <c r="E66" s="51">
        <v>4448.5</v>
      </c>
      <c r="F66" s="50"/>
      <c r="G66" s="51"/>
    </row>
    <row r="67" spans="1:7" s="46" customFormat="1" ht="15" customHeight="1">
      <c r="A67" s="222" t="s">
        <v>157</v>
      </c>
      <c r="B67" s="223"/>
      <c r="C67" s="223"/>
      <c r="D67" s="223"/>
      <c r="E67" s="223"/>
      <c r="F67" s="223"/>
      <c r="G67" s="224"/>
    </row>
    <row r="68" spans="1:7" s="2" customFormat="1" ht="33.75" customHeight="1">
      <c r="A68" s="17" t="s">
        <v>3</v>
      </c>
      <c r="B68" s="15" t="s">
        <v>4</v>
      </c>
      <c r="C68" s="15" t="s">
        <v>5</v>
      </c>
      <c r="D68" s="15" t="s">
        <v>6</v>
      </c>
      <c r="E68" s="16" t="s">
        <v>45</v>
      </c>
      <c r="F68" s="220" t="s">
        <v>46</v>
      </c>
      <c r="G68" s="221"/>
    </row>
    <row r="69" spans="1:7" s="2" customFormat="1" ht="25.5" customHeight="1">
      <c r="A69" s="17"/>
      <c r="B69" s="33" t="s">
        <v>58</v>
      </c>
      <c r="C69" s="29" t="s">
        <v>16</v>
      </c>
      <c r="D69" s="28">
        <v>1</v>
      </c>
      <c r="E69" s="30">
        <v>42306.03</v>
      </c>
      <c r="F69" s="30"/>
      <c r="G69" s="30"/>
    </row>
    <row r="70" spans="1:7" s="2" customFormat="1" ht="15">
      <c r="A70" s="17"/>
      <c r="B70" s="33" t="s">
        <v>59</v>
      </c>
      <c r="C70" s="29" t="s">
        <v>16</v>
      </c>
      <c r="D70" s="28">
        <v>1</v>
      </c>
      <c r="E70" s="30">
        <v>134786.37</v>
      </c>
      <c r="F70" s="30"/>
      <c r="G70" s="30"/>
    </row>
    <row r="71" spans="1:7" s="2" customFormat="1" ht="15">
      <c r="A71" s="17"/>
      <c r="B71" s="33" t="s">
        <v>60</v>
      </c>
      <c r="C71" s="29" t="s">
        <v>16</v>
      </c>
      <c r="D71" s="28">
        <v>1</v>
      </c>
      <c r="E71" s="30">
        <v>24964.87</v>
      </c>
      <c r="F71" s="30"/>
      <c r="G71" s="30"/>
    </row>
    <row r="72" spans="1:7" s="2" customFormat="1" ht="15">
      <c r="A72" s="17"/>
      <c r="B72" s="33" t="s">
        <v>61</v>
      </c>
      <c r="C72" s="29" t="s">
        <v>16</v>
      </c>
      <c r="D72" s="28">
        <v>1</v>
      </c>
      <c r="E72" s="30">
        <v>11215.61</v>
      </c>
      <c r="F72" s="30"/>
      <c r="G72" s="30"/>
    </row>
    <row r="73" spans="1:9" s="2" customFormat="1" ht="15">
      <c r="A73" s="17"/>
      <c r="B73" s="33" t="s">
        <v>62</v>
      </c>
      <c r="C73" s="29" t="s">
        <v>16</v>
      </c>
      <c r="D73" s="19">
        <v>1</v>
      </c>
      <c r="E73" s="30">
        <v>13285.49</v>
      </c>
      <c r="F73" s="26"/>
      <c r="G73" s="23"/>
      <c r="I73" s="13">
        <f>E72+E73</f>
        <v>24501.1</v>
      </c>
    </row>
    <row r="74" spans="1:7" s="2" customFormat="1" ht="15">
      <c r="A74" s="17"/>
      <c r="B74" s="18"/>
      <c r="C74" s="29"/>
      <c r="D74" s="28"/>
      <c r="E74" s="30"/>
      <c r="F74" s="30"/>
      <c r="G74" s="30"/>
    </row>
    <row r="75" spans="1:7" s="2" customFormat="1" ht="15">
      <c r="A75" s="215" t="s">
        <v>63</v>
      </c>
      <c r="B75" s="216"/>
      <c r="C75" s="217"/>
      <c r="D75" s="19"/>
      <c r="E75" s="30">
        <f>SUM(E69:E74)</f>
        <v>226558.37</v>
      </c>
      <c r="F75" s="21"/>
      <c r="G75" s="19"/>
    </row>
    <row r="76" spans="1:7" s="2" customFormat="1" ht="15">
      <c r="A76" s="54"/>
      <c r="B76" s="8"/>
      <c r="C76" s="8"/>
      <c r="D76" s="31"/>
      <c r="E76" s="45"/>
      <c r="F76" s="32"/>
      <c r="G76" s="31"/>
    </row>
    <row r="77" spans="1:7" s="2" customFormat="1" ht="15">
      <c r="A77" s="54"/>
      <c r="B77" s="8"/>
      <c r="C77" s="8"/>
      <c r="D77" s="31"/>
      <c r="E77" s="45"/>
      <c r="F77" s="32"/>
      <c r="G77" s="31"/>
    </row>
    <row r="78" spans="1:7" s="2" customFormat="1" ht="15">
      <c r="A78" s="54"/>
      <c r="B78" s="8"/>
      <c r="C78" s="8"/>
      <c r="D78" s="31"/>
      <c r="E78" s="45"/>
      <c r="F78" s="32"/>
      <c r="G78" s="31"/>
    </row>
    <row r="79" spans="1:7" s="2" customFormat="1" ht="15">
      <c r="A79" s="54"/>
      <c r="B79" s="8"/>
      <c r="C79" s="8"/>
      <c r="D79" s="31"/>
      <c r="E79" s="45"/>
      <c r="F79" s="32"/>
      <c r="G79" s="31"/>
    </row>
    <row r="80" s="2" customFormat="1" ht="15">
      <c r="A80" s="53"/>
    </row>
    <row r="81" spans="1:7" s="2" customFormat="1" ht="15">
      <c r="A81" s="218" t="s">
        <v>11</v>
      </c>
      <c r="B81" s="218"/>
      <c r="C81" s="218"/>
      <c r="D81" s="218"/>
      <c r="E81" s="225">
        <f>G27+G38+G47+E65+E66+E75</f>
        <v>358490.0092</v>
      </c>
      <c r="F81" s="225"/>
      <c r="G81" s="225"/>
    </row>
    <row r="82" spans="1:7" s="2" customFormat="1" ht="15">
      <c r="A82" s="53"/>
      <c r="G82" s="13"/>
    </row>
    <row r="83" s="2" customFormat="1" ht="15">
      <c r="A83" s="53"/>
    </row>
    <row r="84" s="2" customFormat="1" ht="15">
      <c r="A84" s="53"/>
    </row>
    <row r="85" s="2" customFormat="1" ht="15">
      <c r="A85" s="53"/>
    </row>
    <row r="86" spans="1:5" s="2" customFormat="1" ht="15">
      <c r="A86" s="226" t="s">
        <v>47</v>
      </c>
      <c r="B86" s="226"/>
      <c r="E86" s="2" t="s">
        <v>12</v>
      </c>
    </row>
    <row r="87" spans="1:5" s="2" customFormat="1" ht="15">
      <c r="A87" s="226" t="s">
        <v>1</v>
      </c>
      <c r="B87" s="226"/>
      <c r="E87" s="2" t="s">
        <v>201</v>
      </c>
    </row>
    <row r="88" spans="1:5" s="2" customFormat="1" ht="30" customHeight="1">
      <c r="A88" s="214" t="s">
        <v>73</v>
      </c>
      <c r="B88" s="214"/>
      <c r="C88" s="22"/>
      <c r="E88" s="2" t="s">
        <v>202</v>
      </c>
    </row>
    <row r="89" s="2" customFormat="1" ht="15">
      <c r="A89" s="53"/>
    </row>
    <row r="90" s="2" customFormat="1" ht="15">
      <c r="A90" s="53"/>
    </row>
    <row r="91" s="2" customFormat="1" ht="15">
      <c r="A91" s="53"/>
    </row>
    <row r="92" s="2" customFormat="1" ht="15">
      <c r="A92" s="53"/>
    </row>
  </sheetData>
  <sheetProtection/>
  <mergeCells count="17">
    <mergeCell ref="A87:B87"/>
    <mergeCell ref="A88:B88"/>
    <mergeCell ref="A81:D81"/>
    <mergeCell ref="A1:B1"/>
    <mergeCell ref="A3:E3"/>
    <mergeCell ref="A5:H5"/>
    <mergeCell ref="A6:H6"/>
    <mergeCell ref="E81:G81"/>
    <mergeCell ref="A86:B86"/>
    <mergeCell ref="F50:G50"/>
    <mergeCell ref="A67:G67"/>
    <mergeCell ref="F68:G68"/>
    <mergeCell ref="A75:C75"/>
    <mergeCell ref="A38:C38"/>
    <mergeCell ref="A40:H40"/>
    <mergeCell ref="A47:C47"/>
    <mergeCell ref="A49:G49"/>
  </mergeCells>
  <printOptions/>
  <pageMargins left="0.39" right="0.24" top="0.5" bottom="0.7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5"/>
  <sheetViews>
    <sheetView zoomScalePageLayoutView="0" workbookViewId="0" topLeftCell="B1">
      <pane xSplit="2" ySplit="2" topLeftCell="M10" activePane="bottomRight" state="frozen"/>
      <selection pane="topLeft" activeCell="B1" sqref="B1"/>
      <selection pane="topRight" activeCell="D1" sqref="D1"/>
      <selection pane="bottomLeft" activeCell="B3" sqref="B3"/>
      <selection pane="bottomRight" activeCell="P111" sqref="P111"/>
    </sheetView>
  </sheetViews>
  <sheetFormatPr defaultColWidth="9.140625" defaultRowHeight="15"/>
  <cols>
    <col min="1" max="1" width="4.00390625" style="127" customWidth="1"/>
    <col min="2" max="2" width="41.8515625" style="127" customWidth="1"/>
    <col min="3" max="3" width="7.7109375" style="127" customWidth="1"/>
    <col min="4" max="4" width="12.00390625" style="127" customWidth="1"/>
    <col min="5" max="9" width="10.7109375" style="127" bestFit="1" customWidth="1"/>
    <col min="10" max="10" width="11.57421875" style="127" customWidth="1"/>
    <col min="11" max="11" width="10.8515625" style="127" bestFit="1" customWidth="1"/>
    <col min="12" max="12" width="11.28125" style="127" bestFit="1" customWidth="1"/>
    <col min="13" max="13" width="10.7109375" style="127" bestFit="1" customWidth="1"/>
    <col min="14" max="14" width="12.00390625" style="127" bestFit="1" customWidth="1"/>
    <col min="15" max="15" width="10.57421875" style="127" customWidth="1"/>
    <col min="16" max="16" width="12.8515625" style="127" customWidth="1"/>
    <col min="17" max="17" width="11.7109375" style="127" customWidth="1"/>
    <col min="18" max="18" width="12.8515625" style="127" bestFit="1" customWidth="1"/>
    <col min="19" max="19" width="13.00390625" style="126" bestFit="1" customWidth="1"/>
    <col min="20" max="20" width="12.8515625" style="127" bestFit="1" customWidth="1"/>
    <col min="21" max="21" width="12.28125" style="127" bestFit="1" customWidth="1"/>
    <col min="22" max="22" width="10.421875" style="127" bestFit="1" customWidth="1"/>
    <col min="23" max="23" width="9.140625" style="127" customWidth="1"/>
    <col min="24" max="24" width="10.421875" style="127" bestFit="1" customWidth="1"/>
    <col min="25" max="25" width="9.140625" style="127" customWidth="1"/>
    <col min="26" max="26" width="10.421875" style="127" bestFit="1" customWidth="1"/>
    <col min="27" max="16384" width="9.140625" style="127" customWidth="1"/>
  </cols>
  <sheetData>
    <row r="1" spans="2:19" s="59" customFormat="1" ht="20.25" customHeight="1">
      <c r="B1" s="206" t="s">
        <v>165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63"/>
    </row>
    <row r="2" spans="2:19" s="64" customFormat="1" ht="51">
      <c r="B2" s="65"/>
      <c r="C2" s="66" t="s">
        <v>172</v>
      </c>
      <c r="D2" s="67" t="s">
        <v>79</v>
      </c>
      <c r="E2" s="67" t="s">
        <v>80</v>
      </c>
      <c r="F2" s="67" t="s">
        <v>81</v>
      </c>
      <c r="G2" s="67" t="s">
        <v>82</v>
      </c>
      <c r="H2" s="67" t="s">
        <v>83</v>
      </c>
      <c r="I2" s="67" t="s">
        <v>84</v>
      </c>
      <c r="J2" s="67" t="s">
        <v>85</v>
      </c>
      <c r="K2" s="67" t="s">
        <v>86</v>
      </c>
      <c r="L2" s="67" t="s">
        <v>87</v>
      </c>
      <c r="M2" s="67" t="s">
        <v>88</v>
      </c>
      <c r="N2" s="67" t="s">
        <v>89</v>
      </c>
      <c r="O2" s="67" t="s">
        <v>90</v>
      </c>
      <c r="P2" s="195" t="s">
        <v>91</v>
      </c>
      <c r="Q2" s="66" t="s">
        <v>92</v>
      </c>
      <c r="R2" s="66" t="s">
        <v>93</v>
      </c>
      <c r="S2" s="68"/>
    </row>
    <row r="3" spans="2:19" s="69" customFormat="1" ht="15.75">
      <c r="B3" s="70" t="s">
        <v>94</v>
      </c>
      <c r="C3" s="71"/>
      <c r="D3" s="72"/>
      <c r="E3" s="72"/>
      <c r="F3" s="72"/>
      <c r="G3" s="72"/>
      <c r="H3" s="72"/>
      <c r="I3" s="72"/>
      <c r="J3" s="73"/>
      <c r="K3" s="73"/>
      <c r="L3" s="73"/>
      <c r="M3" s="73"/>
      <c r="N3" s="73"/>
      <c r="O3" s="73"/>
      <c r="P3" s="73"/>
      <c r="Q3" s="74"/>
      <c r="S3" s="75"/>
    </row>
    <row r="4" spans="2:19" s="76" customFormat="1" ht="15.75">
      <c r="B4" s="77" t="s">
        <v>148</v>
      </c>
      <c r="C4" s="78"/>
      <c r="D4" s="78"/>
      <c r="E4" s="78"/>
      <c r="F4" s="78"/>
      <c r="G4" s="78"/>
      <c r="H4" s="78">
        <v>78017.2</v>
      </c>
      <c r="I4" s="78">
        <v>78017.2</v>
      </c>
      <c r="J4" s="78">
        <v>77847.29</v>
      </c>
      <c r="K4" s="78">
        <v>77335.46</v>
      </c>
      <c r="L4" s="78">
        <v>78698.94</v>
      </c>
      <c r="M4" s="78">
        <v>76021.8</v>
      </c>
      <c r="N4" s="78">
        <v>78489.58</v>
      </c>
      <c r="O4" s="78">
        <f>78489.58+88.9</f>
        <v>78578.48</v>
      </c>
      <c r="P4" s="79">
        <f aca="true" t="shared" si="0" ref="P4:P36">SUM(D4:O4)</f>
        <v>623005.95</v>
      </c>
      <c r="Q4" s="79">
        <v>507855.09</v>
      </c>
      <c r="R4" s="78">
        <f>C4+P4-Q4</f>
        <v>115150.85999999993</v>
      </c>
      <c r="S4" s="80"/>
    </row>
    <row r="5" spans="2:19" s="76" customFormat="1" ht="15.75">
      <c r="B5" s="77" t="s">
        <v>196</v>
      </c>
      <c r="C5" s="78"/>
      <c r="D5" s="78"/>
      <c r="E5" s="78"/>
      <c r="F5" s="78"/>
      <c r="G5" s="78"/>
      <c r="H5" s="78">
        <v>348.84</v>
      </c>
      <c r="I5" s="78">
        <v>476.31</v>
      </c>
      <c r="J5" s="78">
        <v>395.72</v>
      </c>
      <c r="K5" s="78">
        <v>465.05</v>
      </c>
      <c r="L5" s="78">
        <v>465.05</v>
      </c>
      <c r="M5" s="79">
        <v>465.05</v>
      </c>
      <c r="N5" s="79">
        <v>467.87</v>
      </c>
      <c r="O5" s="79">
        <v>467.87</v>
      </c>
      <c r="P5" s="79">
        <f t="shared" si="0"/>
        <v>3551.7599999999998</v>
      </c>
      <c r="Q5" s="79">
        <v>2906.93</v>
      </c>
      <c r="R5" s="78">
        <f>C5+P5-Q5</f>
        <v>644.8299999999999</v>
      </c>
      <c r="S5" s="80"/>
    </row>
    <row r="6" spans="2:19" s="76" customFormat="1" ht="15.75">
      <c r="B6" s="77" t="s">
        <v>197</v>
      </c>
      <c r="C6" s="78"/>
      <c r="D6" s="78"/>
      <c r="E6" s="78"/>
      <c r="F6" s="78"/>
      <c r="G6" s="78"/>
      <c r="H6" s="78"/>
      <c r="I6" s="78">
        <v>581.35</v>
      </c>
      <c r="J6" s="78">
        <v>639.55</v>
      </c>
      <c r="K6" s="78">
        <v>639.55</v>
      </c>
      <c r="L6" s="78">
        <v>639.55</v>
      </c>
      <c r="M6" s="79">
        <v>639.55</v>
      </c>
      <c r="N6" s="79">
        <v>643.42</v>
      </c>
      <c r="O6" s="79">
        <v>643.42</v>
      </c>
      <c r="P6" s="79">
        <f t="shared" si="0"/>
        <v>4426.39</v>
      </c>
      <c r="Q6" s="79">
        <v>4285.01</v>
      </c>
      <c r="R6" s="78">
        <f>C6+P6-Q6</f>
        <v>141.3800000000001</v>
      </c>
      <c r="S6" s="80"/>
    </row>
    <row r="7" spans="2:19" s="76" customFormat="1" ht="15.75">
      <c r="B7" s="77" t="s">
        <v>198</v>
      </c>
      <c r="C7" s="78"/>
      <c r="D7" s="78"/>
      <c r="E7" s="78"/>
      <c r="F7" s="78"/>
      <c r="G7" s="78"/>
      <c r="H7" s="78">
        <v>988.36</v>
      </c>
      <c r="I7" s="78">
        <v>1337.13</v>
      </c>
      <c r="J7" s="78">
        <v>1392.3</v>
      </c>
      <c r="K7" s="78">
        <v>1395.21</v>
      </c>
      <c r="L7" s="78">
        <v>1395.21</v>
      </c>
      <c r="M7" s="79">
        <f>1395.21+1.13</f>
        <v>1396.3400000000001</v>
      </c>
      <c r="N7" s="79">
        <v>1403.66</v>
      </c>
      <c r="O7" s="79">
        <v>1403.66</v>
      </c>
      <c r="P7" s="79">
        <f t="shared" si="0"/>
        <v>10711.87</v>
      </c>
      <c r="Q7" s="79">
        <v>8642.99</v>
      </c>
      <c r="R7" s="78">
        <f>C7+P7-Q7</f>
        <v>2068.880000000001</v>
      </c>
      <c r="S7" s="80"/>
    </row>
    <row r="8" spans="2:19" s="76" customFormat="1" ht="15.75">
      <c r="B8" s="77" t="s">
        <v>199</v>
      </c>
      <c r="C8" s="78"/>
      <c r="D8" s="78"/>
      <c r="E8" s="78"/>
      <c r="F8" s="78"/>
      <c r="G8" s="78"/>
      <c r="H8" s="78">
        <v>9882.95</v>
      </c>
      <c r="I8" s="78">
        <v>14638.79</v>
      </c>
      <c r="J8" s="78">
        <v>15067.78</v>
      </c>
      <c r="K8" s="78">
        <v>15231.4</v>
      </c>
      <c r="L8" s="78">
        <v>15231.4</v>
      </c>
      <c r="M8" s="79">
        <v>-19103.31</v>
      </c>
      <c r="N8" s="79">
        <v>9591.84</v>
      </c>
      <c r="O8" s="79">
        <v>-1977.35</v>
      </c>
      <c r="P8" s="79">
        <f t="shared" si="0"/>
        <v>58563.50000000001</v>
      </c>
      <c r="Q8" s="79">
        <v>66287.9</v>
      </c>
      <c r="R8" s="78">
        <f>C8+P8-Q8</f>
        <v>-7724.399999999987</v>
      </c>
      <c r="S8" s="80"/>
    </row>
    <row r="9" spans="2:19" s="76" customFormat="1" ht="15.75">
      <c r="B9" s="77" t="s">
        <v>95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9"/>
      <c r="N9" s="79"/>
      <c r="O9" s="79"/>
      <c r="P9" s="79">
        <f t="shared" si="0"/>
        <v>0</v>
      </c>
      <c r="Q9" s="79"/>
      <c r="R9" s="78">
        <f aca="true" t="shared" si="1" ref="R9:R36">C9+P9-Q9</f>
        <v>0</v>
      </c>
      <c r="S9" s="80"/>
    </row>
    <row r="10" spans="2:19" s="76" customFormat="1" ht="15.75">
      <c r="B10" s="77" t="s">
        <v>159</v>
      </c>
      <c r="C10" s="78"/>
      <c r="D10" s="78"/>
      <c r="E10" s="78"/>
      <c r="F10" s="78"/>
      <c r="G10" s="78"/>
      <c r="H10" s="78">
        <v>12789.7</v>
      </c>
      <c r="I10" s="78">
        <v>12789.7</v>
      </c>
      <c r="J10" s="78">
        <v>12614.33</v>
      </c>
      <c r="K10" s="78">
        <v>12789.7</v>
      </c>
      <c r="L10" s="78">
        <v>12789.7</v>
      </c>
      <c r="M10" s="78">
        <v>12789.7</v>
      </c>
      <c r="N10" s="79">
        <v>12867.14</v>
      </c>
      <c r="O10" s="79">
        <f>12867.14+14.58</f>
        <v>12881.72</v>
      </c>
      <c r="P10" s="79">
        <f t="shared" si="0"/>
        <v>102311.69</v>
      </c>
      <c r="Q10" s="79">
        <v>83465.13</v>
      </c>
      <c r="R10" s="78">
        <f t="shared" si="1"/>
        <v>18846.559999999998</v>
      </c>
      <c r="S10" s="80"/>
    </row>
    <row r="11" spans="2:19" s="76" customFormat="1" ht="15.75">
      <c r="B11" s="77" t="s">
        <v>96</v>
      </c>
      <c r="C11" s="78"/>
      <c r="D11" s="78"/>
      <c r="E11" s="78"/>
      <c r="F11" s="78"/>
      <c r="G11" s="78"/>
      <c r="H11" s="78">
        <v>24959.12</v>
      </c>
      <c r="I11" s="78">
        <v>24959.12</v>
      </c>
      <c r="J11" s="78">
        <v>24945</v>
      </c>
      <c r="K11" s="78">
        <v>24959.12</v>
      </c>
      <c r="L11" s="78">
        <v>24959.12</v>
      </c>
      <c r="M11" s="78">
        <v>24959.12</v>
      </c>
      <c r="N11" s="78">
        <v>25132.66</v>
      </c>
      <c r="O11" s="78">
        <f>25132.66+32.66</f>
        <v>25165.32</v>
      </c>
      <c r="P11" s="79">
        <f t="shared" si="0"/>
        <v>200038.58</v>
      </c>
      <c r="Q11" s="79">
        <v>164692.95</v>
      </c>
      <c r="R11" s="78">
        <f t="shared" si="1"/>
        <v>35345.629999999976</v>
      </c>
      <c r="S11" s="80"/>
    </row>
    <row r="12" spans="2:19" s="76" customFormat="1" ht="15.75">
      <c r="B12" s="77" t="s">
        <v>98</v>
      </c>
      <c r="C12" s="78"/>
      <c r="D12" s="78"/>
      <c r="E12" s="78"/>
      <c r="F12" s="78"/>
      <c r="G12" s="78"/>
      <c r="H12" s="78">
        <v>3368</v>
      </c>
      <c r="I12" s="78">
        <v>3306</v>
      </c>
      <c r="J12" s="78">
        <v>3045.58</v>
      </c>
      <c r="K12" s="78">
        <v>3987.74</v>
      </c>
      <c r="L12" s="78">
        <v>2624.26</v>
      </c>
      <c r="M12" s="78">
        <v>3463.66</v>
      </c>
      <c r="N12" s="79">
        <v>3347</v>
      </c>
      <c r="O12" s="79">
        <f>3347+1.3</f>
        <v>3348.3</v>
      </c>
      <c r="P12" s="79">
        <f t="shared" si="0"/>
        <v>26490.539999999997</v>
      </c>
      <c r="Q12" s="79">
        <v>21728.79</v>
      </c>
      <c r="R12" s="78">
        <f t="shared" si="1"/>
        <v>4761.749999999996</v>
      </c>
      <c r="S12" s="80"/>
    </row>
    <row r="13" spans="2:21" s="76" customFormat="1" ht="15.75">
      <c r="B13" s="77" t="s">
        <v>99</v>
      </c>
      <c r="C13" s="78"/>
      <c r="D13" s="78"/>
      <c r="E13" s="78"/>
      <c r="F13" s="78"/>
      <c r="G13" s="78"/>
      <c r="H13" s="78">
        <v>600</v>
      </c>
      <c r="I13" s="78">
        <v>600</v>
      </c>
      <c r="J13" s="78">
        <v>600</v>
      </c>
      <c r="K13" s="78">
        <f>750+600</f>
        <v>1350</v>
      </c>
      <c r="L13" s="78">
        <f>750+600</f>
        <v>1350</v>
      </c>
      <c r="M13" s="78">
        <v>5350</v>
      </c>
      <c r="N13" s="78">
        <v>5350</v>
      </c>
      <c r="O13" s="78">
        <v>5350</v>
      </c>
      <c r="P13" s="79">
        <f t="shared" si="0"/>
        <v>20550</v>
      </c>
      <c r="Q13" s="78">
        <v>7200</v>
      </c>
      <c r="R13" s="78">
        <f t="shared" si="1"/>
        <v>13350</v>
      </c>
      <c r="S13" s="80"/>
      <c r="U13" s="80"/>
    </row>
    <row r="14" spans="2:21" s="191" customFormat="1" ht="15.75">
      <c r="B14" s="194">
        <v>0.15</v>
      </c>
      <c r="C14" s="197"/>
      <c r="D14" s="197">
        <f>-D13*15%</f>
        <v>0</v>
      </c>
      <c r="E14" s="197">
        <f>-E13*15%</f>
        <v>0</v>
      </c>
      <c r="F14" s="197">
        <f>-F13*15%</f>
        <v>0</v>
      </c>
      <c r="G14" s="197">
        <f aca="true" t="shared" si="2" ref="G14:O14">-G13*15%</f>
        <v>0</v>
      </c>
      <c r="H14" s="197">
        <f t="shared" si="2"/>
        <v>-90</v>
      </c>
      <c r="I14" s="197">
        <f t="shared" si="2"/>
        <v>-90</v>
      </c>
      <c r="J14" s="197">
        <f t="shared" si="2"/>
        <v>-90</v>
      </c>
      <c r="K14" s="197">
        <f t="shared" si="2"/>
        <v>-202.5</v>
      </c>
      <c r="L14" s="197">
        <f t="shared" si="2"/>
        <v>-202.5</v>
      </c>
      <c r="M14" s="197">
        <f t="shared" si="2"/>
        <v>-802.5</v>
      </c>
      <c r="N14" s="197">
        <f t="shared" si="2"/>
        <v>-802.5</v>
      </c>
      <c r="O14" s="197">
        <f t="shared" si="2"/>
        <v>-802.5</v>
      </c>
      <c r="P14" s="79">
        <f t="shared" si="0"/>
        <v>-3082.5</v>
      </c>
      <c r="Q14" s="192"/>
      <c r="R14" s="78">
        <f t="shared" si="1"/>
        <v>-3082.5</v>
      </c>
      <c r="S14" s="193"/>
      <c r="U14" s="193"/>
    </row>
    <row r="15" spans="2:21" s="191" customFormat="1" ht="15.75">
      <c r="B15" s="194" t="s">
        <v>160</v>
      </c>
      <c r="C15" s="192"/>
      <c r="D15" s="192"/>
      <c r="E15" s="192"/>
      <c r="F15" s="192"/>
      <c r="G15" s="192"/>
      <c r="H15" s="192">
        <v>805.78</v>
      </c>
      <c r="I15" s="192">
        <v>805.78</v>
      </c>
      <c r="J15" s="192">
        <v>805.78</v>
      </c>
      <c r="K15" s="192">
        <v>805.78</v>
      </c>
      <c r="L15" s="192">
        <v>805.78</v>
      </c>
      <c r="M15" s="192">
        <v>805.78</v>
      </c>
      <c r="N15" s="192">
        <v>805.78</v>
      </c>
      <c r="O15" s="192">
        <v>805.78</v>
      </c>
      <c r="P15" s="79">
        <f t="shared" si="0"/>
        <v>6446.239999999999</v>
      </c>
      <c r="Q15" s="197"/>
      <c r="R15" s="78">
        <f t="shared" si="1"/>
        <v>6446.239999999999</v>
      </c>
      <c r="S15" s="193"/>
      <c r="U15" s="193"/>
    </row>
    <row r="16" spans="2:21" s="191" customFormat="1" ht="15.75">
      <c r="B16" s="194" t="s">
        <v>162</v>
      </c>
      <c r="C16" s="192"/>
      <c r="D16" s="192"/>
      <c r="E16" s="192"/>
      <c r="F16" s="192"/>
      <c r="G16" s="192"/>
      <c r="H16" s="192">
        <v>806.22</v>
      </c>
      <c r="I16" s="192">
        <v>806.22</v>
      </c>
      <c r="J16" s="192">
        <v>806.22</v>
      </c>
      <c r="K16" s="192">
        <v>806.22</v>
      </c>
      <c r="L16" s="192">
        <v>806.22</v>
      </c>
      <c r="M16" s="192"/>
      <c r="N16" s="192"/>
      <c r="O16" s="192"/>
      <c r="P16" s="79">
        <f t="shared" si="0"/>
        <v>4031.1000000000004</v>
      </c>
      <c r="Q16" s="197"/>
      <c r="R16" s="78">
        <f t="shared" si="1"/>
        <v>4031.1000000000004</v>
      </c>
      <c r="S16" s="193"/>
      <c r="U16" s="193"/>
    </row>
    <row r="17" spans="2:19" s="81" customFormat="1" ht="15.75">
      <c r="B17" s="82" t="s">
        <v>100</v>
      </c>
      <c r="C17" s="83">
        <f aca="true" t="shared" si="3" ref="C17:N17">SUM(C4:C16)</f>
        <v>0</v>
      </c>
      <c r="D17" s="83">
        <f t="shared" si="3"/>
        <v>0</v>
      </c>
      <c r="E17" s="83">
        <f t="shared" si="3"/>
        <v>0</v>
      </c>
      <c r="F17" s="83">
        <f t="shared" si="3"/>
        <v>0</v>
      </c>
      <c r="G17" s="83">
        <f t="shared" si="3"/>
        <v>0</v>
      </c>
      <c r="H17" s="83">
        <f t="shared" si="3"/>
        <v>132476.16999999998</v>
      </c>
      <c r="I17" s="83">
        <f t="shared" si="3"/>
        <v>138227.6</v>
      </c>
      <c r="J17" s="83">
        <f t="shared" si="3"/>
        <v>138069.55</v>
      </c>
      <c r="K17" s="83">
        <f t="shared" si="3"/>
        <v>139562.73</v>
      </c>
      <c r="L17" s="83">
        <f t="shared" si="3"/>
        <v>139562.73</v>
      </c>
      <c r="M17" s="83">
        <f t="shared" si="3"/>
        <v>105985.19</v>
      </c>
      <c r="N17" s="83">
        <f t="shared" si="3"/>
        <v>137296.44999999998</v>
      </c>
      <c r="O17" s="83">
        <f>SUM(O4:O16)</f>
        <v>125864.7</v>
      </c>
      <c r="P17" s="83">
        <f>SUM(P4:P16)</f>
        <v>1057045.1199999999</v>
      </c>
      <c r="Q17" s="83">
        <f>SUM(Q4:Q16)</f>
        <v>867064.79</v>
      </c>
      <c r="R17" s="83">
        <f t="shared" si="1"/>
        <v>189980.32999999984</v>
      </c>
      <c r="S17" s="84"/>
    </row>
    <row r="18" spans="2:19" s="76" customFormat="1" ht="15.75">
      <c r="B18" s="82"/>
      <c r="C18" s="78"/>
      <c r="D18" s="78"/>
      <c r="E18" s="78"/>
      <c r="F18" s="78"/>
      <c r="G18" s="78"/>
      <c r="H18" s="78"/>
      <c r="I18" s="78"/>
      <c r="J18" s="79"/>
      <c r="K18" s="79"/>
      <c r="L18" s="79"/>
      <c r="M18" s="79"/>
      <c r="N18" s="79"/>
      <c r="O18" s="79"/>
      <c r="P18" s="79"/>
      <c r="Q18" s="79"/>
      <c r="R18" s="78"/>
      <c r="S18" s="80"/>
    </row>
    <row r="19" spans="2:21" s="76" customFormat="1" ht="15.75">
      <c r="B19" s="204" t="s">
        <v>104</v>
      </c>
      <c r="C19" s="205"/>
      <c r="D19" s="89"/>
      <c r="E19" s="89"/>
      <c r="F19" s="89"/>
      <c r="G19" s="89"/>
      <c r="H19" s="89"/>
      <c r="I19" s="89"/>
      <c r="J19" s="90"/>
      <c r="K19" s="90"/>
      <c r="L19" s="90"/>
      <c r="M19" s="90"/>
      <c r="N19" s="90"/>
      <c r="O19" s="90"/>
      <c r="P19" s="79"/>
      <c r="Q19" s="90"/>
      <c r="R19" s="78"/>
      <c r="S19" s="91"/>
      <c r="T19" s="92">
        <f>Q19/2895.2/12</f>
        <v>0</v>
      </c>
      <c r="U19" s="92">
        <f>24.93-23.25</f>
        <v>1.6799999999999997</v>
      </c>
    </row>
    <row r="20" spans="2:19" s="76" customFormat="1" ht="15.75">
      <c r="B20" s="77" t="s">
        <v>61</v>
      </c>
      <c r="C20" s="78"/>
      <c r="D20" s="78"/>
      <c r="E20" s="78"/>
      <c r="F20" s="78"/>
      <c r="G20" s="78"/>
      <c r="H20" s="78">
        <v>10965.31</v>
      </c>
      <c r="I20" s="78">
        <v>11678.28</v>
      </c>
      <c r="J20" s="79">
        <v>11058.89</v>
      </c>
      <c r="K20" s="79">
        <v>10199.63</v>
      </c>
      <c r="L20" s="79">
        <v>10788.6</v>
      </c>
      <c r="M20" s="79">
        <v>7574.98</v>
      </c>
      <c r="N20" s="79">
        <v>10951.09</v>
      </c>
      <c r="O20" s="79">
        <f>10145.03+7.14</f>
        <v>10152.17</v>
      </c>
      <c r="P20" s="79">
        <f t="shared" si="0"/>
        <v>83368.94999999998</v>
      </c>
      <c r="Q20" s="79">
        <f>60982.69+101.3</f>
        <v>61083.990000000005</v>
      </c>
      <c r="R20" s="78">
        <f t="shared" si="1"/>
        <v>22284.959999999977</v>
      </c>
      <c r="S20" s="80"/>
    </row>
    <row r="21" spans="2:19" s="76" customFormat="1" ht="15.75">
      <c r="B21" s="77" t="s">
        <v>105</v>
      </c>
      <c r="C21" s="78"/>
      <c r="D21" s="78"/>
      <c r="E21" s="78"/>
      <c r="F21" s="78"/>
      <c r="G21" s="78"/>
      <c r="H21" s="78"/>
      <c r="I21" s="78"/>
      <c r="J21" s="79"/>
      <c r="K21" s="79"/>
      <c r="L21" s="79"/>
      <c r="M21" s="79"/>
      <c r="N21" s="79"/>
      <c r="O21" s="79"/>
      <c r="P21" s="79">
        <f t="shared" si="0"/>
        <v>0</v>
      </c>
      <c r="Q21" s="79"/>
      <c r="R21" s="78">
        <f t="shared" si="1"/>
        <v>0</v>
      </c>
      <c r="S21" s="80"/>
    </row>
    <row r="22" spans="2:19" s="76" customFormat="1" ht="15.75">
      <c r="B22" s="77" t="s">
        <v>62</v>
      </c>
      <c r="C22" s="78"/>
      <c r="D22" s="78"/>
      <c r="E22" s="78"/>
      <c r="F22" s="78"/>
      <c r="G22" s="78"/>
      <c r="H22" s="78">
        <v>11814.91</v>
      </c>
      <c r="I22" s="78">
        <v>13250.89</v>
      </c>
      <c r="J22" s="79">
        <v>12128.24</v>
      </c>
      <c r="K22" s="79">
        <v>10502.22</v>
      </c>
      <c r="L22" s="79">
        <v>13623.7</v>
      </c>
      <c r="M22" s="79">
        <v>10762.44</v>
      </c>
      <c r="N22" s="79">
        <v>13419.56</v>
      </c>
      <c r="O22" s="79">
        <f>12089.65+14.41</f>
        <v>12104.06</v>
      </c>
      <c r="P22" s="79">
        <f t="shared" si="0"/>
        <v>97606.02</v>
      </c>
      <c r="Q22" s="79">
        <v>69197.01</v>
      </c>
      <c r="R22" s="78">
        <f t="shared" si="1"/>
        <v>28409.01000000001</v>
      </c>
      <c r="S22" s="80"/>
    </row>
    <row r="23" spans="2:19" s="76" customFormat="1" ht="15.75">
      <c r="B23" s="77" t="s">
        <v>58</v>
      </c>
      <c r="C23" s="78"/>
      <c r="D23" s="78"/>
      <c r="E23" s="78"/>
      <c r="F23" s="78"/>
      <c r="G23" s="78"/>
      <c r="H23" s="78">
        <v>33649.72</v>
      </c>
      <c r="I23" s="78">
        <v>37677.57</v>
      </c>
      <c r="J23" s="79">
        <v>29619.61</v>
      </c>
      <c r="K23" s="79">
        <v>31342.59</v>
      </c>
      <c r="L23" s="79">
        <v>37586.25</v>
      </c>
      <c r="M23" s="79">
        <v>27705.53</v>
      </c>
      <c r="N23" s="79">
        <v>37416.12</v>
      </c>
      <c r="O23" s="79">
        <f>37925.9+85.07</f>
        <v>38010.97</v>
      </c>
      <c r="P23" s="79">
        <f t="shared" si="0"/>
        <v>273008.36</v>
      </c>
      <c r="Q23" s="79">
        <f>213027.36+95.03</f>
        <v>213122.38999999998</v>
      </c>
      <c r="R23" s="78">
        <f t="shared" si="1"/>
        <v>59885.97</v>
      </c>
      <c r="S23" s="80"/>
    </row>
    <row r="24" spans="2:19" s="76" customFormat="1" ht="15.75">
      <c r="B24" s="77"/>
      <c r="C24" s="78"/>
      <c r="D24" s="78"/>
      <c r="E24" s="78"/>
      <c r="F24" s="78"/>
      <c r="G24" s="78"/>
      <c r="H24" s="78"/>
      <c r="I24" s="78"/>
      <c r="J24" s="79"/>
      <c r="K24" s="79"/>
      <c r="L24" s="79"/>
      <c r="M24" s="79"/>
      <c r="N24" s="79"/>
      <c r="O24" s="79"/>
      <c r="P24" s="79">
        <f t="shared" si="0"/>
        <v>0</v>
      </c>
      <c r="Q24" s="79"/>
      <c r="R24" s="78">
        <f t="shared" si="1"/>
        <v>0</v>
      </c>
      <c r="S24" s="80"/>
    </row>
    <row r="25" spans="2:19" s="76" customFormat="1" ht="15.75">
      <c r="B25" s="77" t="s">
        <v>108</v>
      </c>
      <c r="C25" s="78"/>
      <c r="D25" s="78"/>
      <c r="E25" s="78"/>
      <c r="F25" s="78"/>
      <c r="G25" s="78"/>
      <c r="H25" s="78">
        <v>36388.72</v>
      </c>
      <c r="I25" s="78"/>
      <c r="J25" s="78">
        <v>-4377.47</v>
      </c>
      <c r="K25" s="79">
        <v>2388.79</v>
      </c>
      <c r="L25" s="79">
        <v>7915.19</v>
      </c>
      <c r="M25" s="79">
        <v>67220.13</v>
      </c>
      <c r="N25" s="79">
        <v>91035.63</v>
      </c>
      <c r="O25" s="79">
        <v>149318.42</v>
      </c>
      <c r="P25" s="79">
        <f t="shared" si="0"/>
        <v>349889.41000000003</v>
      </c>
      <c r="Q25" s="79">
        <v>172525.76</v>
      </c>
      <c r="R25" s="78">
        <f t="shared" si="1"/>
        <v>177363.65000000002</v>
      </c>
      <c r="S25" s="80"/>
    </row>
    <row r="26" spans="2:19" s="76" customFormat="1" ht="15.75">
      <c r="B26" s="77" t="s">
        <v>60</v>
      </c>
      <c r="C26" s="78"/>
      <c r="D26" s="78"/>
      <c r="E26" s="78"/>
      <c r="F26" s="78"/>
      <c r="G26" s="78"/>
      <c r="H26" s="78">
        <v>24227.74</v>
      </c>
      <c r="I26" s="78">
        <v>24776.87</v>
      </c>
      <c r="J26" s="79">
        <v>20192.12</v>
      </c>
      <c r="K26" s="79">
        <v>16742.49</v>
      </c>
      <c r="L26" s="79">
        <v>29856.73</v>
      </c>
      <c r="M26" s="79">
        <v>26369.73</v>
      </c>
      <c r="N26" s="79">
        <v>27715.69</v>
      </c>
      <c r="O26" s="79">
        <f>26057.29+41.83</f>
        <v>26099.120000000003</v>
      </c>
      <c r="P26" s="79">
        <f t="shared" si="0"/>
        <v>195980.49</v>
      </c>
      <c r="Q26" s="79">
        <v>135380.93</v>
      </c>
      <c r="R26" s="78">
        <f t="shared" si="1"/>
        <v>60599.56</v>
      </c>
      <c r="S26" s="80"/>
    </row>
    <row r="27" spans="2:19" s="76" customFormat="1" ht="16.5" customHeight="1">
      <c r="B27" s="77" t="s">
        <v>109</v>
      </c>
      <c r="C27" s="78"/>
      <c r="D27" s="78"/>
      <c r="E27" s="78"/>
      <c r="F27" s="78"/>
      <c r="G27" s="78"/>
      <c r="H27" s="78"/>
      <c r="I27" s="78"/>
      <c r="J27" s="79"/>
      <c r="K27" s="79"/>
      <c r="L27" s="79"/>
      <c r="M27" s="79"/>
      <c r="N27" s="79"/>
      <c r="O27" s="79"/>
      <c r="P27" s="79">
        <f t="shared" si="0"/>
        <v>0</v>
      </c>
      <c r="Q27" s="79"/>
      <c r="R27" s="78">
        <f t="shared" si="1"/>
        <v>0</v>
      </c>
      <c r="S27" s="80"/>
    </row>
    <row r="28" spans="2:23" s="76" customFormat="1" ht="15.75">
      <c r="B28" s="77" t="s">
        <v>110</v>
      </c>
      <c r="C28" s="78">
        <f>C29+C30+C31+C32</f>
        <v>0</v>
      </c>
      <c r="D28" s="78">
        <f>D29+D30+D31+D32</f>
        <v>0</v>
      </c>
      <c r="E28" s="78">
        <f aca="true" t="shared" si="4" ref="E28:Q28">E29+E30+E31+E32</f>
        <v>0</v>
      </c>
      <c r="F28" s="78">
        <f t="shared" si="4"/>
        <v>0</v>
      </c>
      <c r="G28" s="78">
        <f t="shared" si="4"/>
        <v>0</v>
      </c>
      <c r="H28" s="78">
        <f t="shared" si="4"/>
        <v>0</v>
      </c>
      <c r="I28" s="78">
        <f t="shared" si="4"/>
        <v>0</v>
      </c>
      <c r="J28" s="78">
        <f t="shared" si="4"/>
        <v>0</v>
      </c>
      <c r="K28" s="78">
        <f t="shared" si="4"/>
        <v>0</v>
      </c>
      <c r="L28" s="78">
        <f t="shared" si="4"/>
        <v>0</v>
      </c>
      <c r="M28" s="78">
        <f t="shared" si="4"/>
        <v>0</v>
      </c>
      <c r="N28" s="78">
        <f t="shared" si="4"/>
        <v>0</v>
      </c>
      <c r="O28" s="78">
        <f t="shared" si="4"/>
        <v>0</v>
      </c>
      <c r="P28" s="79">
        <f t="shared" si="0"/>
        <v>0</v>
      </c>
      <c r="Q28" s="78">
        <f t="shared" si="4"/>
        <v>0</v>
      </c>
      <c r="R28" s="78">
        <f t="shared" si="1"/>
        <v>0</v>
      </c>
      <c r="S28" s="80"/>
      <c r="T28" s="80">
        <f>C29+C30+C31+C32</f>
        <v>0</v>
      </c>
      <c r="U28" s="76" t="s">
        <v>97</v>
      </c>
      <c r="W28" s="76" t="s">
        <v>97</v>
      </c>
    </row>
    <row r="29" spans="2:19" s="93" customFormat="1" ht="15.75">
      <c r="B29" s="85" t="s">
        <v>111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87">
        <f t="shared" si="0"/>
        <v>0</v>
      </c>
      <c r="Q29" s="94"/>
      <c r="R29" s="94">
        <f t="shared" si="1"/>
        <v>0</v>
      </c>
      <c r="S29" s="95"/>
    </row>
    <row r="30" spans="2:19" s="93" customFormat="1" ht="15.75">
      <c r="B30" s="85" t="s">
        <v>112</v>
      </c>
      <c r="C30" s="94"/>
      <c r="D30" s="94"/>
      <c r="E30" s="94"/>
      <c r="F30" s="94"/>
      <c r="G30" s="94"/>
      <c r="H30" s="94"/>
      <c r="I30" s="94"/>
      <c r="J30" s="87"/>
      <c r="K30" s="87"/>
      <c r="L30" s="87"/>
      <c r="M30" s="87"/>
      <c r="N30" s="87"/>
      <c r="O30" s="87"/>
      <c r="P30" s="87">
        <f t="shared" si="0"/>
        <v>0</v>
      </c>
      <c r="Q30" s="94"/>
      <c r="R30" s="94">
        <f t="shared" si="1"/>
        <v>0</v>
      </c>
      <c r="S30" s="95"/>
    </row>
    <row r="31" spans="2:19" s="93" customFormat="1" ht="15.75">
      <c r="B31" s="85" t="s">
        <v>113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87">
        <f t="shared" si="0"/>
        <v>0</v>
      </c>
      <c r="Q31" s="94"/>
      <c r="R31" s="94">
        <f t="shared" si="1"/>
        <v>0</v>
      </c>
      <c r="S31" s="95"/>
    </row>
    <row r="32" spans="2:19" s="93" customFormat="1" ht="15.75">
      <c r="B32" s="85" t="s">
        <v>62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87">
        <f t="shared" si="0"/>
        <v>0</v>
      </c>
      <c r="Q32" s="94"/>
      <c r="R32" s="94">
        <f t="shared" si="1"/>
        <v>0</v>
      </c>
      <c r="S32" s="95"/>
    </row>
    <row r="33" spans="2:19" s="93" customFormat="1" ht="15.75">
      <c r="B33" s="85" t="s">
        <v>161</v>
      </c>
      <c r="C33" s="94"/>
      <c r="D33" s="94"/>
      <c r="E33" s="94"/>
      <c r="F33" s="94"/>
      <c r="G33" s="94"/>
      <c r="H33" s="94">
        <v>379.13</v>
      </c>
      <c r="I33" s="94"/>
      <c r="J33" s="94"/>
      <c r="K33" s="94"/>
      <c r="L33" s="94">
        <v>81.98</v>
      </c>
      <c r="M33" s="94">
        <v>360.92</v>
      </c>
      <c r="N33" s="94">
        <v>486.46</v>
      </c>
      <c r="O33" s="94">
        <v>804.07</v>
      </c>
      <c r="P33" s="87">
        <f t="shared" si="0"/>
        <v>2112.56</v>
      </c>
      <c r="Q33" s="94"/>
      <c r="R33" s="94">
        <f t="shared" si="1"/>
        <v>2112.56</v>
      </c>
      <c r="S33" s="95"/>
    </row>
    <row r="34" spans="2:19" s="93" customFormat="1" ht="15.75">
      <c r="B34" s="194" t="s">
        <v>164</v>
      </c>
      <c r="C34" s="94"/>
      <c r="D34" s="94"/>
      <c r="E34" s="94"/>
      <c r="F34" s="94"/>
      <c r="G34" s="94"/>
      <c r="H34" s="94">
        <v>380.21</v>
      </c>
      <c r="I34" s="94"/>
      <c r="J34" s="94"/>
      <c r="K34" s="94"/>
      <c r="L34" s="94">
        <v>82.22</v>
      </c>
      <c r="M34" s="94"/>
      <c r="N34" s="94"/>
      <c r="O34" s="94"/>
      <c r="P34" s="87">
        <f t="shared" si="0"/>
        <v>462.42999999999995</v>
      </c>
      <c r="Q34" s="94"/>
      <c r="R34" s="94">
        <f t="shared" si="1"/>
        <v>462.42999999999995</v>
      </c>
      <c r="S34" s="95"/>
    </row>
    <row r="35" spans="2:19" s="81" customFormat="1" ht="15.75">
      <c r="B35" s="82" t="s">
        <v>114</v>
      </c>
      <c r="C35" s="83">
        <f aca="true" t="shared" si="5" ref="C35:H35">C20+C22+C23+C25+C26+C27+C28+C24+C21+C33+C34</f>
        <v>0</v>
      </c>
      <c r="D35" s="83">
        <f t="shared" si="5"/>
        <v>0</v>
      </c>
      <c r="E35" s="83">
        <f t="shared" si="5"/>
        <v>0</v>
      </c>
      <c r="F35" s="83">
        <f t="shared" si="5"/>
        <v>0</v>
      </c>
      <c r="G35" s="83">
        <f t="shared" si="5"/>
        <v>0</v>
      </c>
      <c r="H35" s="83">
        <f t="shared" si="5"/>
        <v>117805.74000000002</v>
      </c>
      <c r="I35" s="83">
        <f aca="true" t="shared" si="6" ref="I35:Q35">I20+I22+I23+I25+I26+I27+I28+I24+I21+I33+I34</f>
        <v>87383.61</v>
      </c>
      <c r="J35" s="83">
        <f t="shared" si="6"/>
        <v>68621.39</v>
      </c>
      <c r="K35" s="83">
        <f t="shared" si="6"/>
        <v>71175.72</v>
      </c>
      <c r="L35" s="83">
        <f t="shared" si="6"/>
        <v>99934.67</v>
      </c>
      <c r="M35" s="83">
        <f t="shared" si="6"/>
        <v>139993.73</v>
      </c>
      <c r="N35" s="83">
        <f t="shared" si="6"/>
        <v>181024.55000000002</v>
      </c>
      <c r="O35" s="83">
        <f t="shared" si="6"/>
        <v>236488.81</v>
      </c>
      <c r="P35" s="86">
        <f t="shared" si="0"/>
        <v>1002428.2200000002</v>
      </c>
      <c r="Q35" s="83">
        <f t="shared" si="6"/>
        <v>651310.0800000001</v>
      </c>
      <c r="R35" s="83">
        <f t="shared" si="1"/>
        <v>351118.14000000013</v>
      </c>
      <c r="S35" s="84"/>
    </row>
    <row r="36" spans="2:19" s="81" customFormat="1" ht="15.75">
      <c r="B36" s="82" t="s">
        <v>115</v>
      </c>
      <c r="C36" s="83">
        <f aca="true" t="shared" si="7" ref="C36:O36">C35+C17</f>
        <v>0</v>
      </c>
      <c r="D36" s="83">
        <f t="shared" si="7"/>
        <v>0</v>
      </c>
      <c r="E36" s="83">
        <f t="shared" si="7"/>
        <v>0</v>
      </c>
      <c r="F36" s="83">
        <f t="shared" si="7"/>
        <v>0</v>
      </c>
      <c r="G36" s="83">
        <f t="shared" si="7"/>
        <v>0</v>
      </c>
      <c r="H36" s="83">
        <f t="shared" si="7"/>
        <v>250281.91</v>
      </c>
      <c r="I36" s="83">
        <f t="shared" si="7"/>
        <v>225611.21000000002</v>
      </c>
      <c r="J36" s="83">
        <f t="shared" si="7"/>
        <v>206690.94</v>
      </c>
      <c r="K36" s="83">
        <f t="shared" si="7"/>
        <v>210738.45</v>
      </c>
      <c r="L36" s="83">
        <f t="shared" si="7"/>
        <v>239497.40000000002</v>
      </c>
      <c r="M36" s="83">
        <f t="shared" si="7"/>
        <v>245978.92</v>
      </c>
      <c r="N36" s="83">
        <f t="shared" si="7"/>
        <v>318321</v>
      </c>
      <c r="O36" s="83">
        <f t="shared" si="7"/>
        <v>362353.51</v>
      </c>
      <c r="P36" s="86">
        <f t="shared" si="0"/>
        <v>2059473.34</v>
      </c>
      <c r="Q36" s="83">
        <f>Q35+Q17</f>
        <v>1518374.87</v>
      </c>
      <c r="R36" s="83">
        <f t="shared" si="1"/>
        <v>541098.47</v>
      </c>
      <c r="S36" s="84"/>
    </row>
    <row r="37" spans="2:19" s="81" customFormat="1" ht="1.5" customHeight="1">
      <c r="B37" s="85" t="s">
        <v>101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 t="e">
        <f>#REF!+#REF!</f>
        <v>#REF!</v>
      </c>
      <c r="R37" s="83"/>
      <c r="S37" s="84"/>
    </row>
    <row r="38" spans="2:19" s="81" customFormat="1" ht="15.75" hidden="1">
      <c r="B38" s="85" t="s">
        <v>102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 t="e">
        <f>#REF!</f>
        <v>#REF!</v>
      </c>
      <c r="R38" s="83"/>
      <c r="S38" s="84"/>
    </row>
    <row r="39" spans="2:19" s="81" customFormat="1" ht="15.75" hidden="1">
      <c r="B39" s="88" t="s">
        <v>103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 t="e">
        <f>#REF!+#REF!</f>
        <v>#REF!</v>
      </c>
      <c r="R39" s="96"/>
      <c r="S39" s="84"/>
    </row>
    <row r="40" spans="2:19" s="81" customFormat="1" ht="15.75">
      <c r="B40" s="97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84"/>
    </row>
    <row r="41" spans="1:19" s="101" customFormat="1" ht="17.25" customHeight="1">
      <c r="A41" s="99"/>
      <c r="B41" s="207" t="s">
        <v>188</v>
      </c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9"/>
      <c r="S41" s="100"/>
    </row>
    <row r="42" spans="1:19" s="101" customFormat="1" ht="17.25" customHeight="1">
      <c r="A42" s="102"/>
      <c r="B42" s="210" t="s">
        <v>94</v>
      </c>
      <c r="C42" s="210"/>
      <c r="D42" s="103"/>
      <c r="E42" s="103"/>
      <c r="F42" s="103"/>
      <c r="G42" s="103"/>
      <c r="H42" s="103"/>
      <c r="I42" s="103"/>
      <c r="J42" s="104"/>
      <c r="K42" s="104"/>
      <c r="L42" s="104"/>
      <c r="M42" s="104"/>
      <c r="N42" s="104"/>
      <c r="O42" s="104"/>
      <c r="P42" s="104"/>
      <c r="Q42" s="100"/>
      <c r="R42" s="105"/>
      <c r="S42" s="100"/>
    </row>
    <row r="43" spans="1:19" s="109" customFormat="1" ht="51.75">
      <c r="A43" s="106" t="s">
        <v>116</v>
      </c>
      <c r="B43" s="107" t="s">
        <v>117</v>
      </c>
      <c r="C43" s="66" t="s">
        <v>172</v>
      </c>
      <c r="D43" s="67" t="s">
        <v>79</v>
      </c>
      <c r="E43" s="67" t="s">
        <v>80</v>
      </c>
      <c r="F43" s="67" t="s">
        <v>81</v>
      </c>
      <c r="G43" s="67" t="s">
        <v>82</v>
      </c>
      <c r="H43" s="67" t="s">
        <v>83</v>
      </c>
      <c r="I43" s="67" t="s">
        <v>84</v>
      </c>
      <c r="J43" s="67" t="s">
        <v>85</v>
      </c>
      <c r="K43" s="67" t="s">
        <v>86</v>
      </c>
      <c r="L43" s="67" t="s">
        <v>87</v>
      </c>
      <c r="M43" s="67" t="s">
        <v>88</v>
      </c>
      <c r="N43" s="67" t="s">
        <v>89</v>
      </c>
      <c r="O43" s="67" t="s">
        <v>90</v>
      </c>
      <c r="P43" s="67" t="s">
        <v>91</v>
      </c>
      <c r="Q43" s="66" t="s">
        <v>92</v>
      </c>
      <c r="R43" s="66" t="s">
        <v>93</v>
      </c>
      <c r="S43" s="108"/>
    </row>
    <row r="44" spans="1:21" s="114" customFormat="1" ht="14.25">
      <c r="A44" s="110">
        <v>1</v>
      </c>
      <c r="B44" s="151" t="s">
        <v>138</v>
      </c>
      <c r="C44" s="112">
        <f>C45+C49+C50+C51+C52+C53+C54+C55+C60</f>
        <v>0</v>
      </c>
      <c r="D44" s="112">
        <f>D45+D49+D50+D51+D52+D53+D54+D55+D56+D57+D58+D59+D60</f>
        <v>0</v>
      </c>
      <c r="E44" s="112">
        <f aca="true" t="shared" si="8" ref="E44:Q44">E45+E49+E50+E51+E52+E53+E54+E55+E56+E57+E58+E59+E60</f>
        <v>0</v>
      </c>
      <c r="F44" s="112">
        <f t="shared" si="8"/>
        <v>0</v>
      </c>
      <c r="G44" s="112">
        <f t="shared" si="8"/>
        <v>0</v>
      </c>
      <c r="H44" s="112">
        <f t="shared" si="8"/>
        <v>67423.45</v>
      </c>
      <c r="I44" s="112">
        <f t="shared" si="8"/>
        <v>66790.84</v>
      </c>
      <c r="J44" s="112">
        <f t="shared" si="8"/>
        <v>62992.27999999999</v>
      </c>
      <c r="K44" s="112">
        <f t="shared" si="8"/>
        <v>65232.72999999999</v>
      </c>
      <c r="L44" s="112">
        <f t="shared" si="8"/>
        <v>63194.179999999986</v>
      </c>
      <c r="M44" s="112">
        <f t="shared" si="8"/>
        <v>62909.40999999999</v>
      </c>
      <c r="N44" s="112">
        <f t="shared" si="8"/>
        <v>63352.12999999999</v>
      </c>
      <c r="O44" s="112">
        <f t="shared" si="8"/>
        <v>59066.20999999999</v>
      </c>
      <c r="P44" s="112">
        <f>SUM(D44:O44)</f>
        <v>510961.23</v>
      </c>
      <c r="Q44" s="112">
        <f t="shared" si="8"/>
        <v>421848.1</v>
      </c>
      <c r="R44" s="112">
        <f>R45+R46+R47+R48+R49+R50+R51+R52+R53+R54+R55+R56+R57+R58+R59+R60</f>
        <v>103122.64999999997</v>
      </c>
      <c r="S44" s="113"/>
      <c r="T44" s="114" t="e">
        <f>#REF!/3</f>
        <v>#REF!</v>
      </c>
      <c r="U44" s="113" t="e">
        <f>#REF!+#REF!</f>
        <v>#REF!</v>
      </c>
    </row>
    <row r="45" spans="1:21" ht="31.5" customHeight="1">
      <c r="A45" s="122"/>
      <c r="B45" s="150" t="s">
        <v>132</v>
      </c>
      <c r="C45" s="164"/>
      <c r="D45" s="164">
        <f>D46+D47+D48</f>
        <v>0</v>
      </c>
      <c r="E45" s="164">
        <f aca="true" t="shared" si="9" ref="E45:Q45">E46+E47+E48</f>
        <v>0</v>
      </c>
      <c r="F45" s="164">
        <f t="shared" si="9"/>
        <v>0</v>
      </c>
      <c r="G45" s="164">
        <f t="shared" si="9"/>
        <v>0</v>
      </c>
      <c r="H45" s="164">
        <f t="shared" si="9"/>
        <v>17967.6</v>
      </c>
      <c r="I45" s="164">
        <f t="shared" si="9"/>
        <v>17967.6</v>
      </c>
      <c r="J45" s="164">
        <f t="shared" si="9"/>
        <v>17967.6</v>
      </c>
      <c r="K45" s="164">
        <f t="shared" si="9"/>
        <v>17967.6</v>
      </c>
      <c r="L45" s="164">
        <f t="shared" si="9"/>
        <v>17967.6</v>
      </c>
      <c r="M45" s="164">
        <f t="shared" si="9"/>
        <v>17967.6</v>
      </c>
      <c r="N45" s="164">
        <f t="shared" si="9"/>
        <v>19087.32</v>
      </c>
      <c r="O45" s="164">
        <f t="shared" si="9"/>
        <v>14009.52</v>
      </c>
      <c r="P45" s="164">
        <f t="shared" si="9"/>
        <v>140902.44</v>
      </c>
      <c r="Q45" s="164">
        <f t="shared" si="9"/>
        <v>126892.92000000001</v>
      </c>
      <c r="R45" s="153">
        <f>C45+P45-Q45</f>
        <v>14009.51999999999</v>
      </c>
      <c r="T45" s="114" t="e">
        <f>#REF!/3</f>
        <v>#REF!</v>
      </c>
      <c r="U45" s="126" t="e">
        <f>#REF!+#REF!</f>
        <v>#REF!</v>
      </c>
    </row>
    <row r="46" spans="1:20" s="121" customFormat="1" ht="15">
      <c r="A46" s="115"/>
      <c r="B46" s="149" t="s">
        <v>126</v>
      </c>
      <c r="C46" s="165"/>
      <c r="D46" s="165">
        <f>январь!E11</f>
        <v>0</v>
      </c>
      <c r="E46" s="165">
        <f>февраль!E11</f>
        <v>0</v>
      </c>
      <c r="F46" s="165">
        <f>март!E11</f>
        <v>0</v>
      </c>
      <c r="G46" s="165">
        <f>апрель!E11</f>
        <v>0</v>
      </c>
      <c r="H46" s="116">
        <f>май!E11</f>
        <v>12889.8</v>
      </c>
      <c r="I46" s="116">
        <f>июнь!E11</f>
        <v>12889.8</v>
      </c>
      <c r="J46" s="116">
        <f>июль!E11</f>
        <v>12889.8</v>
      </c>
      <c r="K46" s="117">
        <f>август!E11</f>
        <v>12889.8</v>
      </c>
      <c r="L46" s="117">
        <f>сентябрь!E11</f>
        <v>12889.8</v>
      </c>
      <c r="M46" s="117">
        <f>октябрь!E11</f>
        <v>12889.8</v>
      </c>
      <c r="N46" s="117">
        <f>ноябрь!E11</f>
        <v>14009.52</v>
      </c>
      <c r="O46" s="117">
        <f>декабрь!E11</f>
        <v>14009.52</v>
      </c>
      <c r="P46" s="118">
        <f aca="true" t="shared" si="10" ref="P46:P101">SUM(D46:O46)</f>
        <v>105357.84000000001</v>
      </c>
      <c r="Q46" s="119">
        <f>P46-O46</f>
        <v>91348.32</v>
      </c>
      <c r="R46" s="153">
        <f aca="true" t="shared" si="11" ref="R46:R104">C46+P46-Q46</f>
        <v>14009.520000000004</v>
      </c>
      <c r="S46" s="120"/>
      <c r="T46" s="114"/>
    </row>
    <row r="47" spans="1:20" s="121" customFormat="1" ht="15">
      <c r="A47" s="115"/>
      <c r="B47" s="149" t="s">
        <v>127</v>
      </c>
      <c r="C47" s="165"/>
      <c r="D47" s="165">
        <f>январь!E12</f>
        <v>0</v>
      </c>
      <c r="E47" s="165">
        <f>февраль!E12</f>
        <v>0</v>
      </c>
      <c r="F47" s="165">
        <f>март!E12</f>
        <v>0</v>
      </c>
      <c r="G47" s="165">
        <f>апрель!E12</f>
        <v>0</v>
      </c>
      <c r="H47" s="116">
        <f>май!E12</f>
        <v>5077.8</v>
      </c>
      <c r="I47" s="116">
        <f>июнь!E12</f>
        <v>5077.8</v>
      </c>
      <c r="J47" s="116">
        <f>июль!E12</f>
        <v>5077.8</v>
      </c>
      <c r="K47" s="117">
        <f>август!E12</f>
        <v>5077.8</v>
      </c>
      <c r="L47" s="117">
        <f>сентябрь!E12</f>
        <v>5077.8</v>
      </c>
      <c r="M47" s="117">
        <f>октябрь!E12</f>
        <v>5077.8</v>
      </c>
      <c r="N47" s="117">
        <f>ноябрь!E12</f>
        <v>5077.8</v>
      </c>
      <c r="O47" s="117">
        <f>декабрь!E12</f>
        <v>0</v>
      </c>
      <c r="P47" s="118">
        <f t="shared" si="10"/>
        <v>35544.6</v>
      </c>
      <c r="Q47" s="119">
        <f>P47-O47</f>
        <v>35544.6</v>
      </c>
      <c r="R47" s="153">
        <f t="shared" si="11"/>
        <v>0</v>
      </c>
      <c r="S47" s="120"/>
      <c r="T47" s="114"/>
    </row>
    <row r="48" spans="1:20" s="121" customFormat="1" ht="15">
      <c r="A48" s="115"/>
      <c r="B48" s="149" t="s">
        <v>133</v>
      </c>
      <c r="C48" s="165"/>
      <c r="D48" s="165">
        <f>январь!E13</f>
        <v>0</v>
      </c>
      <c r="E48" s="165">
        <f>февраль!E13</f>
        <v>0</v>
      </c>
      <c r="F48" s="165">
        <f>март!E13</f>
        <v>0</v>
      </c>
      <c r="G48" s="165">
        <f>апрель!E13</f>
        <v>0</v>
      </c>
      <c r="H48" s="116">
        <f>май!E13</f>
        <v>0</v>
      </c>
      <c r="I48" s="116">
        <f>июнь!E13</f>
        <v>0</v>
      </c>
      <c r="J48" s="116">
        <f>июль!E13</f>
        <v>0</v>
      </c>
      <c r="K48" s="117">
        <f>август!E13</f>
        <v>0</v>
      </c>
      <c r="L48" s="117">
        <f>сентябрь!E13</f>
        <v>0</v>
      </c>
      <c r="M48" s="117">
        <f>октябрь!E13</f>
        <v>0</v>
      </c>
      <c r="N48" s="117">
        <f>ноябрь!E13</f>
        <v>0</v>
      </c>
      <c r="O48" s="117">
        <f>декабрь!E13</f>
        <v>0</v>
      </c>
      <c r="P48" s="124">
        <f t="shared" si="10"/>
        <v>0</v>
      </c>
      <c r="Q48" s="119"/>
      <c r="R48" s="153">
        <f t="shared" si="11"/>
        <v>0</v>
      </c>
      <c r="S48" s="120"/>
      <c r="T48" s="114"/>
    </row>
    <row r="49" spans="1:20" ht="15">
      <c r="A49" s="122"/>
      <c r="B49" s="154" t="s">
        <v>128</v>
      </c>
      <c r="C49" s="164"/>
      <c r="D49" s="165">
        <f>январь!F12</f>
        <v>0</v>
      </c>
      <c r="E49" s="164">
        <f>февраль!F27-Свод!E50</f>
        <v>0</v>
      </c>
      <c r="F49" s="164">
        <f>март!F27-F50</f>
        <v>0</v>
      </c>
      <c r="G49" s="164">
        <f>апрель!F27-Свод!G50</f>
        <v>0</v>
      </c>
      <c r="H49" s="124">
        <f>май!F27-Свод!H50</f>
        <v>618.75</v>
      </c>
      <c r="I49" s="124">
        <f>июнь!F27-Свод!I50</f>
        <v>1116</v>
      </c>
      <c r="J49" s="125">
        <f>июль!F27-Свод!J50</f>
        <v>613.6</v>
      </c>
      <c r="K49" s="117">
        <f>август!F27-Свод!K50</f>
        <v>276.05</v>
      </c>
      <c r="L49" s="125">
        <f>сентябрь!F27-Свод!L50</f>
        <v>313</v>
      </c>
      <c r="M49" s="125">
        <f>октябрь!F27-Свод!M50</f>
        <v>1101</v>
      </c>
      <c r="N49" s="125">
        <f>ноябрь!F27-Свод!N50</f>
        <v>460</v>
      </c>
      <c r="O49" s="125">
        <f>декабрь!F27-Свод!O50</f>
        <v>258</v>
      </c>
      <c r="P49" s="124">
        <f t="shared" si="10"/>
        <v>4756.4</v>
      </c>
      <c r="Q49" s="125">
        <f>P49</f>
        <v>4756.4</v>
      </c>
      <c r="R49" s="153">
        <f t="shared" si="11"/>
        <v>0</v>
      </c>
      <c r="T49" s="114"/>
    </row>
    <row r="50" spans="1:20" ht="15">
      <c r="A50" s="122"/>
      <c r="B50" s="154" t="s">
        <v>129</v>
      </c>
      <c r="C50" s="164"/>
      <c r="D50" s="165">
        <f>январь!F14</f>
        <v>0</v>
      </c>
      <c r="E50" s="165">
        <f>февраль!F14</f>
        <v>0</v>
      </c>
      <c r="F50" s="164">
        <f>март!F14</f>
        <v>0</v>
      </c>
      <c r="G50" s="164">
        <f>апрель!G14</f>
        <v>0</v>
      </c>
      <c r="H50" s="124">
        <f>май!G14</f>
        <v>0</v>
      </c>
      <c r="I50" s="124">
        <f>июнь!G14</f>
        <v>125</v>
      </c>
      <c r="J50" s="125">
        <f>июль!G14</f>
        <v>120</v>
      </c>
      <c r="K50" s="117">
        <f>август!G14</f>
        <v>98</v>
      </c>
      <c r="L50" s="125">
        <f>сентябрь!G14</f>
        <v>124</v>
      </c>
      <c r="M50" s="125">
        <f>октябрь!G14</f>
        <v>166</v>
      </c>
      <c r="N50" s="125">
        <f>ноябрь!G14</f>
        <v>130</v>
      </c>
      <c r="O50" s="125">
        <f>декабрь!G14</f>
        <v>124</v>
      </c>
      <c r="P50" s="124">
        <f t="shared" si="10"/>
        <v>887</v>
      </c>
      <c r="Q50" s="125">
        <f>P50</f>
        <v>887</v>
      </c>
      <c r="R50" s="153">
        <f t="shared" si="11"/>
        <v>0</v>
      </c>
      <c r="T50" s="114"/>
    </row>
    <row r="51" spans="1:20" ht="15">
      <c r="A51" s="122"/>
      <c r="B51" s="156" t="s">
        <v>21</v>
      </c>
      <c r="C51" s="164"/>
      <c r="D51" s="165">
        <f>январь!E15</f>
        <v>0</v>
      </c>
      <c r="E51" s="165">
        <f>февраль!E15</f>
        <v>0</v>
      </c>
      <c r="F51" s="164">
        <f>март!G15</f>
        <v>0</v>
      </c>
      <c r="G51" s="164">
        <f>апрель!G15</f>
        <v>0</v>
      </c>
      <c r="H51" s="124">
        <f>май!G15</f>
        <v>25378.66</v>
      </c>
      <c r="I51" s="124">
        <f>июнь!G15</f>
        <v>25378.66</v>
      </c>
      <c r="J51" s="125">
        <f>июль!G15</f>
        <v>25378.66</v>
      </c>
      <c r="K51" s="117">
        <f>август!G15</f>
        <v>25378.66</v>
      </c>
      <c r="L51" s="125">
        <f>сентябрь!G15</f>
        <v>25378.66</v>
      </c>
      <c r="M51" s="125">
        <f>октябрь!G15</f>
        <v>25378.66</v>
      </c>
      <c r="N51" s="125">
        <f>ноябрь!G15</f>
        <v>25378.66</v>
      </c>
      <c r="O51" s="125">
        <f>декабрь!G15</f>
        <v>25378.66</v>
      </c>
      <c r="P51" s="124">
        <f t="shared" si="10"/>
        <v>203029.28</v>
      </c>
      <c r="Q51" s="125">
        <f>Q11</f>
        <v>164692.95</v>
      </c>
      <c r="R51" s="153">
        <f t="shared" si="11"/>
        <v>38336.32999999999</v>
      </c>
      <c r="T51" s="114"/>
    </row>
    <row r="52" spans="1:20" ht="15.75">
      <c r="A52" s="122"/>
      <c r="B52" s="77" t="s">
        <v>159</v>
      </c>
      <c r="C52" s="164"/>
      <c r="D52" s="165">
        <f>январь!E16</f>
        <v>0</v>
      </c>
      <c r="E52" s="165">
        <f>февраль!G16</f>
        <v>0</v>
      </c>
      <c r="F52" s="164">
        <f>март!G16</f>
        <v>0</v>
      </c>
      <c r="G52" s="164">
        <f>апрель!G16</f>
        <v>0</v>
      </c>
      <c r="H52" s="124">
        <f>май!G16</f>
        <v>14415.31</v>
      </c>
      <c r="I52" s="124">
        <f>июнь!G16</f>
        <v>14415.31</v>
      </c>
      <c r="J52" s="125">
        <f>июль!G16</f>
        <v>14415.31</v>
      </c>
      <c r="K52" s="117">
        <f>август!G16</f>
        <v>14415.31</v>
      </c>
      <c r="L52" s="125">
        <f>сентябрь!G16</f>
        <v>14415.31</v>
      </c>
      <c r="M52" s="125">
        <f>октябрь!G16</f>
        <v>14415.31</v>
      </c>
      <c r="N52" s="125">
        <f>ноябрь!G16</f>
        <v>14415.31</v>
      </c>
      <c r="O52" s="125">
        <f>декабрь!G16</f>
        <v>14415.31</v>
      </c>
      <c r="P52" s="124">
        <f t="shared" si="10"/>
        <v>115322.48</v>
      </c>
      <c r="Q52" s="125">
        <f>Q10</f>
        <v>83465.13</v>
      </c>
      <c r="R52" s="153">
        <f t="shared" si="11"/>
        <v>31857.34999999999</v>
      </c>
      <c r="T52" s="114"/>
    </row>
    <row r="53" spans="1:20" ht="15">
      <c r="A53" s="122"/>
      <c r="B53" s="154" t="s">
        <v>130</v>
      </c>
      <c r="C53" s="164"/>
      <c r="D53" s="165">
        <f>январь!E17</f>
        <v>0</v>
      </c>
      <c r="E53" s="165">
        <f>февраль!G17</f>
        <v>0</v>
      </c>
      <c r="F53" s="164">
        <f>март!G17</f>
        <v>0</v>
      </c>
      <c r="G53" s="164">
        <f>апрель!G17</f>
        <v>0</v>
      </c>
      <c r="H53" s="124">
        <f>май!G17</f>
        <v>827.84</v>
      </c>
      <c r="I53" s="124">
        <f>июнь!G17</f>
        <v>827.84</v>
      </c>
      <c r="J53" s="125">
        <f>июль!G17</f>
        <v>827.84</v>
      </c>
      <c r="K53" s="117">
        <f>август!G17</f>
        <v>827.84</v>
      </c>
      <c r="L53" s="125">
        <f>сентябрь!G17</f>
        <v>827.84</v>
      </c>
      <c r="M53" s="125">
        <f>октябрь!G17</f>
        <v>827.84</v>
      </c>
      <c r="N53" s="125">
        <f>ноябрь!G17</f>
        <v>827.84</v>
      </c>
      <c r="O53" s="125">
        <f>декабрь!G17</f>
        <v>827.84</v>
      </c>
      <c r="P53" s="124">
        <f t="shared" si="10"/>
        <v>6622.72</v>
      </c>
      <c r="Q53" s="125">
        <f>P53-O53</f>
        <v>5794.88</v>
      </c>
      <c r="R53" s="153">
        <f t="shared" si="11"/>
        <v>827.8400000000001</v>
      </c>
      <c r="T53" s="114"/>
    </row>
    <row r="54" spans="1:20" ht="15">
      <c r="A54" s="122"/>
      <c r="B54" s="154" t="s">
        <v>131</v>
      </c>
      <c r="C54" s="164"/>
      <c r="D54" s="165">
        <f>январь!E18</f>
        <v>0</v>
      </c>
      <c r="E54" s="164">
        <f>февраль!G18</f>
        <v>0</v>
      </c>
      <c r="F54" s="164">
        <f>март!G18</f>
        <v>0</v>
      </c>
      <c r="G54" s="164">
        <f>апрель!G18</f>
        <v>0</v>
      </c>
      <c r="H54" s="124">
        <f>май!G18</f>
        <v>0</v>
      </c>
      <c r="I54" s="124">
        <f>июнь!G18</f>
        <v>1478.43</v>
      </c>
      <c r="J54" s="125">
        <f>июль!G18</f>
        <v>0</v>
      </c>
      <c r="K54" s="117">
        <f>август!G18</f>
        <v>0</v>
      </c>
      <c r="L54" s="125">
        <f>сентябрь!G18</f>
        <v>0</v>
      </c>
      <c r="M54" s="125">
        <f>октябрь!G18</f>
        <v>0</v>
      </c>
      <c r="N54" s="125">
        <f>ноябрь!G18</f>
        <v>0</v>
      </c>
      <c r="O54" s="125">
        <f>декабрь!G18</f>
        <v>999.88</v>
      </c>
      <c r="P54" s="124">
        <f t="shared" si="10"/>
        <v>2478.31</v>
      </c>
      <c r="Q54" s="125">
        <f>P54-O54</f>
        <v>1478.4299999999998</v>
      </c>
      <c r="R54" s="153">
        <f t="shared" si="11"/>
        <v>999.8800000000001</v>
      </c>
      <c r="T54" s="114"/>
    </row>
    <row r="55" spans="1:20" ht="15">
      <c r="A55" s="122"/>
      <c r="B55" s="156" t="s">
        <v>52</v>
      </c>
      <c r="C55" s="164"/>
      <c r="D55" s="165">
        <f>январь!E19</f>
        <v>0</v>
      </c>
      <c r="E55" s="165">
        <f>февраль!G19</f>
        <v>0</v>
      </c>
      <c r="F55" s="164">
        <f>март!G19</f>
        <v>0</v>
      </c>
      <c r="G55" s="164">
        <f>апрель!G19</f>
        <v>0</v>
      </c>
      <c r="H55" s="124">
        <f>май!G19</f>
        <v>3053</v>
      </c>
      <c r="I55" s="124">
        <f>июнь!G19</f>
        <v>3182</v>
      </c>
      <c r="J55" s="125">
        <f>июль!G19</f>
        <v>3182</v>
      </c>
      <c r="K55" s="117">
        <f>август!G19</f>
        <v>3182</v>
      </c>
      <c r="L55" s="125">
        <f>сентябрь!G19</f>
        <v>3053</v>
      </c>
      <c r="M55" s="125">
        <f>октябрь!G19</f>
        <v>3053</v>
      </c>
      <c r="N55" s="125">
        <f>ноябрь!G19</f>
        <v>3053</v>
      </c>
      <c r="O55" s="125">
        <f>декабрь!G19</f>
        <v>3053</v>
      </c>
      <c r="P55" s="124">
        <f t="shared" si="10"/>
        <v>24811</v>
      </c>
      <c r="Q55" s="125">
        <f>Q12</f>
        <v>21728.79</v>
      </c>
      <c r="R55" s="153">
        <f t="shared" si="11"/>
        <v>3082.209999999999</v>
      </c>
      <c r="T55" s="114"/>
    </row>
    <row r="56" spans="1:20" ht="15">
      <c r="A56" s="122"/>
      <c r="B56" s="156" t="s">
        <v>196</v>
      </c>
      <c r="C56" s="164"/>
      <c r="D56" s="165">
        <f>январь!E20</f>
        <v>0</v>
      </c>
      <c r="E56" s="165">
        <f>февраль!G20</f>
        <v>0</v>
      </c>
      <c r="F56" s="164">
        <f>март!G20</f>
        <v>0</v>
      </c>
      <c r="G56" s="164">
        <f>апрель!G20</f>
        <v>0</v>
      </c>
      <c r="H56" s="124">
        <f>май!G20</f>
        <v>2853.55</v>
      </c>
      <c r="I56" s="124">
        <f>июнь!G20</f>
        <v>0</v>
      </c>
      <c r="J56" s="125">
        <f>июль!G20</f>
        <v>487.27</v>
      </c>
      <c r="K56" s="117">
        <f>август!G20</f>
        <v>487.27</v>
      </c>
      <c r="L56" s="125">
        <f>сентябрь!G20</f>
        <v>1114.77</v>
      </c>
      <c r="M56" s="125">
        <f>октябрь!G20</f>
        <v>0</v>
      </c>
      <c r="N56" s="125">
        <f>ноябрь!G20</f>
        <v>0</v>
      </c>
      <c r="O56" s="125">
        <f>декабрь!G20</f>
        <v>0</v>
      </c>
      <c r="P56" s="124">
        <f t="shared" si="10"/>
        <v>4942.860000000001</v>
      </c>
      <c r="Q56" s="125">
        <f>P56</f>
        <v>4942.860000000001</v>
      </c>
      <c r="R56" s="153">
        <f t="shared" si="11"/>
        <v>0</v>
      </c>
      <c r="T56" s="114"/>
    </row>
    <row r="57" spans="1:20" ht="15.75">
      <c r="A57" s="122"/>
      <c r="B57" s="77" t="s">
        <v>197</v>
      </c>
      <c r="C57" s="164"/>
      <c r="D57" s="165">
        <f>январь!E21</f>
        <v>0</v>
      </c>
      <c r="E57" s="165">
        <f>февраль!G21</f>
        <v>0</v>
      </c>
      <c r="F57" s="164">
        <f>март!G21</f>
        <v>0</v>
      </c>
      <c r="G57" s="164">
        <f>апрель!G21</f>
        <v>0</v>
      </c>
      <c r="H57" s="124">
        <f>май!G21</f>
        <v>0</v>
      </c>
      <c r="I57" s="124">
        <f>июнь!G21</f>
        <v>0</v>
      </c>
      <c r="J57" s="125">
        <f>июль!G21</f>
        <v>0</v>
      </c>
      <c r="K57" s="117">
        <f>август!G21</f>
        <v>0</v>
      </c>
      <c r="L57" s="125">
        <f>сентябрь!G21</f>
        <v>0</v>
      </c>
      <c r="M57" s="125">
        <f>октябрь!G21</f>
        <v>0</v>
      </c>
      <c r="N57" s="125">
        <f>ноябрь!G21</f>
        <v>0</v>
      </c>
      <c r="O57" s="125">
        <f>декабрь!G21</f>
        <v>0</v>
      </c>
      <c r="P57" s="124">
        <f t="shared" si="10"/>
        <v>0</v>
      </c>
      <c r="Q57" s="125"/>
      <c r="R57" s="153">
        <f t="shared" si="11"/>
        <v>0</v>
      </c>
      <c r="T57" s="114"/>
    </row>
    <row r="58" spans="1:20" ht="15">
      <c r="A58" s="122"/>
      <c r="B58" s="156" t="s">
        <v>198</v>
      </c>
      <c r="C58" s="164"/>
      <c r="D58" s="165">
        <f>январь!E22</f>
        <v>0</v>
      </c>
      <c r="E58" s="165">
        <f>февраль!G22</f>
        <v>0</v>
      </c>
      <c r="F58" s="164">
        <f>март!G22</f>
        <v>0</v>
      </c>
      <c r="G58" s="164">
        <f>апрель!G22</f>
        <v>0</v>
      </c>
      <c r="H58" s="124">
        <f>май!G22</f>
        <v>2308.74</v>
      </c>
      <c r="I58" s="124">
        <f>июнь!G22</f>
        <v>0</v>
      </c>
      <c r="J58" s="125">
        <f>июль!G22</f>
        <v>0</v>
      </c>
      <c r="K58" s="117">
        <f>август!G22</f>
        <v>0</v>
      </c>
      <c r="L58" s="125">
        <f>сентябрь!G22</f>
        <v>0</v>
      </c>
      <c r="M58" s="125">
        <f>октябрь!G22</f>
        <v>0</v>
      </c>
      <c r="N58" s="125">
        <f>ноябрь!G22</f>
        <v>0</v>
      </c>
      <c r="O58" s="125">
        <f>декабрь!G22</f>
        <v>0</v>
      </c>
      <c r="P58" s="124">
        <f t="shared" si="10"/>
        <v>2308.74</v>
      </c>
      <c r="Q58" s="125">
        <f>P58</f>
        <v>2308.74</v>
      </c>
      <c r="R58" s="153">
        <f t="shared" si="11"/>
        <v>0</v>
      </c>
      <c r="T58" s="114"/>
    </row>
    <row r="59" spans="1:20" ht="15">
      <c r="A59" s="122"/>
      <c r="B59" s="156" t="s">
        <v>199</v>
      </c>
      <c r="C59" s="164"/>
      <c r="D59" s="165">
        <f>январь!E23</f>
        <v>0</v>
      </c>
      <c r="E59" s="165">
        <f>февраль!G23</f>
        <v>0</v>
      </c>
      <c r="F59" s="164">
        <f>март!G23</f>
        <v>0</v>
      </c>
      <c r="G59" s="164">
        <f>апрель!G23</f>
        <v>0</v>
      </c>
      <c r="H59" s="124">
        <f>май!G23</f>
        <v>0</v>
      </c>
      <c r="I59" s="124">
        <f>июнь!G23</f>
        <v>0</v>
      </c>
      <c r="J59" s="125">
        <f>июль!G23</f>
        <v>0</v>
      </c>
      <c r="K59" s="117">
        <f>август!G23</f>
        <v>0</v>
      </c>
      <c r="L59" s="125">
        <f>сентябрь!G23</f>
        <v>0</v>
      </c>
      <c r="M59" s="125">
        <f>октябрь!G23</f>
        <v>0</v>
      </c>
      <c r="N59" s="125">
        <f>ноябрь!G23</f>
        <v>0</v>
      </c>
      <c r="O59" s="125">
        <f>декабрь!G23</f>
        <v>0</v>
      </c>
      <c r="P59" s="124">
        <f t="shared" si="10"/>
        <v>0</v>
      </c>
      <c r="Q59" s="125"/>
      <c r="R59" s="153">
        <f t="shared" si="11"/>
        <v>0</v>
      </c>
      <c r="T59" s="114"/>
    </row>
    <row r="60" spans="1:20" ht="15">
      <c r="A60" s="122"/>
      <c r="B60" s="156" t="s">
        <v>48</v>
      </c>
      <c r="C60" s="164"/>
      <c r="D60" s="164">
        <f>D61+D62</f>
        <v>0</v>
      </c>
      <c r="E60" s="164">
        <f aca="true" t="shared" si="12" ref="E60:Q60">E61+E62</f>
        <v>0</v>
      </c>
      <c r="F60" s="164">
        <f t="shared" si="12"/>
        <v>0</v>
      </c>
      <c r="G60" s="164">
        <f>апрель!G24</f>
        <v>0</v>
      </c>
      <c r="H60" s="164">
        <f t="shared" si="12"/>
        <v>0</v>
      </c>
      <c r="I60" s="164">
        <f t="shared" si="12"/>
        <v>2300</v>
      </c>
      <c r="J60" s="164">
        <f t="shared" si="12"/>
        <v>0</v>
      </c>
      <c r="K60" s="164">
        <f t="shared" si="12"/>
        <v>2600</v>
      </c>
      <c r="L60" s="164">
        <f t="shared" si="12"/>
        <v>0</v>
      </c>
      <c r="M60" s="164">
        <f t="shared" si="12"/>
        <v>0</v>
      </c>
      <c r="N60" s="164">
        <f t="shared" si="12"/>
        <v>0</v>
      </c>
      <c r="O60" s="164">
        <f t="shared" si="12"/>
        <v>0</v>
      </c>
      <c r="P60" s="164">
        <f t="shared" si="12"/>
        <v>4900</v>
      </c>
      <c r="Q60" s="164">
        <f t="shared" si="12"/>
        <v>4900</v>
      </c>
      <c r="R60" s="153">
        <f t="shared" si="11"/>
        <v>0</v>
      </c>
      <c r="T60" s="114"/>
    </row>
    <row r="61" spans="1:20" s="132" customFormat="1" ht="15">
      <c r="A61" s="128"/>
      <c r="B61" s="166" t="s">
        <v>203</v>
      </c>
      <c r="C61" s="165"/>
      <c r="D61" s="165">
        <f>январь!E25</f>
        <v>0</v>
      </c>
      <c r="E61" s="165">
        <f>февраль!G25</f>
        <v>0</v>
      </c>
      <c r="F61" s="164">
        <f>март!G25</f>
        <v>0</v>
      </c>
      <c r="G61" s="164">
        <f>апрель!G25</f>
        <v>0</v>
      </c>
      <c r="H61" s="124">
        <f>май!G25</f>
        <v>0</v>
      </c>
      <c r="I61" s="124">
        <f>июнь!G25</f>
        <v>2300</v>
      </c>
      <c r="J61" s="125">
        <f>июль!G25</f>
        <v>0</v>
      </c>
      <c r="K61" s="117">
        <f>август!E25</f>
        <v>2600</v>
      </c>
      <c r="L61" s="130">
        <f>сентябрь!G25</f>
        <v>0</v>
      </c>
      <c r="M61" s="130">
        <f>октябрь!G25</f>
        <v>0</v>
      </c>
      <c r="N61" s="130">
        <f>ноябрь!G25</f>
        <v>0</v>
      </c>
      <c r="O61" s="130">
        <f>декабрь!G25</f>
        <v>0</v>
      </c>
      <c r="P61" s="118">
        <f t="shared" si="10"/>
        <v>4900</v>
      </c>
      <c r="Q61" s="130">
        <f>P61</f>
        <v>4900</v>
      </c>
      <c r="R61" s="167">
        <f t="shared" si="11"/>
        <v>0</v>
      </c>
      <c r="S61" s="131"/>
      <c r="T61" s="168"/>
    </row>
    <row r="62" spans="1:20" s="132" customFormat="1" ht="15">
      <c r="A62" s="128"/>
      <c r="B62" s="166"/>
      <c r="C62" s="165"/>
      <c r="D62" s="165">
        <f>январь!E26</f>
        <v>0</v>
      </c>
      <c r="E62" s="165">
        <f>февраль!G26</f>
        <v>0</v>
      </c>
      <c r="F62" s="164">
        <f>март!G26</f>
        <v>0</v>
      </c>
      <c r="G62" s="164">
        <f>апрель!G26</f>
        <v>0</v>
      </c>
      <c r="H62" s="124">
        <f>май!G26</f>
        <v>0</v>
      </c>
      <c r="I62" s="124">
        <f>июнь!G26</f>
        <v>0</v>
      </c>
      <c r="J62" s="125">
        <f>июль!G26</f>
        <v>0</v>
      </c>
      <c r="K62" s="117">
        <f>август!E26</f>
        <v>0</v>
      </c>
      <c r="L62" s="130">
        <f>сентябрь!G26</f>
        <v>0</v>
      </c>
      <c r="M62" s="130">
        <f>октябрь!G26</f>
        <v>0</v>
      </c>
      <c r="N62" s="130">
        <f>ноябрь!G26</f>
        <v>0</v>
      </c>
      <c r="O62" s="130">
        <f>декабрь!G26</f>
        <v>0</v>
      </c>
      <c r="P62" s="118">
        <f t="shared" si="10"/>
        <v>0</v>
      </c>
      <c r="Q62" s="130"/>
      <c r="R62" s="167">
        <f t="shared" si="11"/>
        <v>0</v>
      </c>
      <c r="S62" s="131"/>
      <c r="T62" s="168"/>
    </row>
    <row r="63" spans="1:20" s="114" customFormat="1" ht="28.5">
      <c r="A63" s="110">
        <v>2</v>
      </c>
      <c r="B63" s="151" t="s">
        <v>140</v>
      </c>
      <c r="C63" s="112">
        <f>C64+C65+C66+C67+C68</f>
        <v>0</v>
      </c>
      <c r="D63" s="112">
        <f>D64+D65+D66+D67+D68</f>
        <v>0</v>
      </c>
      <c r="E63" s="112">
        <f aca="true" t="shared" si="13" ref="E63:Q63">E64+E65+E66+E67+E68</f>
        <v>0</v>
      </c>
      <c r="F63" s="112">
        <f t="shared" si="13"/>
        <v>0</v>
      </c>
      <c r="G63" s="112">
        <f t="shared" si="13"/>
        <v>0</v>
      </c>
      <c r="H63" s="112">
        <f t="shared" si="13"/>
        <v>41313.829999999994</v>
      </c>
      <c r="I63" s="112">
        <f t="shared" si="13"/>
        <v>29443.519999999997</v>
      </c>
      <c r="J63" s="112">
        <f t="shared" si="13"/>
        <v>37450.87</v>
      </c>
      <c r="K63" s="112">
        <f t="shared" si="13"/>
        <v>26207.37</v>
      </c>
      <c r="L63" s="112">
        <f t="shared" si="13"/>
        <v>25998.07</v>
      </c>
      <c r="M63" s="112">
        <f t="shared" si="13"/>
        <v>28150.519999999997</v>
      </c>
      <c r="N63" s="112">
        <f t="shared" si="13"/>
        <v>35421.06</v>
      </c>
      <c r="O63" s="112">
        <f t="shared" si="13"/>
        <v>33713.56</v>
      </c>
      <c r="P63" s="112">
        <f t="shared" si="10"/>
        <v>257698.8</v>
      </c>
      <c r="Q63" s="112">
        <f t="shared" si="13"/>
        <v>229482.04</v>
      </c>
      <c r="R63" s="159">
        <f t="shared" si="11"/>
        <v>28216.75999999998</v>
      </c>
      <c r="S63" s="113"/>
      <c r="T63" s="114" t="e">
        <f>#REF!/3</f>
        <v>#REF!</v>
      </c>
    </row>
    <row r="64" spans="1:20" ht="30">
      <c r="A64" s="122"/>
      <c r="B64" s="150" t="s">
        <v>132</v>
      </c>
      <c r="C64" s="124"/>
      <c r="D64" s="124">
        <f>январь!E31+январь!E32</f>
        <v>0</v>
      </c>
      <c r="E64" s="124">
        <f>февраль!E31+февраль!E32</f>
        <v>0</v>
      </c>
      <c r="F64" s="124">
        <f>март!E31+март!E32</f>
        <v>0</v>
      </c>
      <c r="G64" s="124">
        <f>апрель!E31+апрель!E32</f>
        <v>0</v>
      </c>
      <c r="H64" s="124">
        <f>май!E31+май!E32</f>
        <v>36610.909999999996</v>
      </c>
      <c r="I64" s="124">
        <f>июнь!E31+июнь!E32</f>
        <v>29036.739999999998</v>
      </c>
      <c r="J64" s="124">
        <f>июль!E31+июль!E32</f>
        <v>28154.870000000003</v>
      </c>
      <c r="K64" s="152">
        <f>август!E31+август!E32</f>
        <v>25508.969999999998</v>
      </c>
      <c r="L64" s="152">
        <f>сентябрь!E31+сентябрь!E32</f>
        <v>24740.07</v>
      </c>
      <c r="M64" s="152">
        <f>октябрь!E31+октябрь!E32</f>
        <v>26568.519999999997</v>
      </c>
      <c r="N64" s="152">
        <f>ноябрь!E31+ноябрь!E32</f>
        <v>27452.16</v>
      </c>
      <c r="O64" s="152">
        <f>декабрь!E31+декабрь!E32</f>
        <v>28216.76</v>
      </c>
      <c r="P64" s="124">
        <f t="shared" si="10"/>
        <v>226289</v>
      </c>
      <c r="Q64" s="125">
        <f>P64-O64</f>
        <v>198072.24</v>
      </c>
      <c r="R64" s="153">
        <f t="shared" si="11"/>
        <v>28216.76000000001</v>
      </c>
      <c r="T64" s="114"/>
    </row>
    <row r="65" spans="1:18" ht="15">
      <c r="A65" s="122"/>
      <c r="B65" s="154" t="s">
        <v>128</v>
      </c>
      <c r="C65" s="157"/>
      <c r="D65" s="183">
        <f>январь!F38-Свод!D66</f>
        <v>0</v>
      </c>
      <c r="E65" s="124">
        <f>февраль!F38-Свод!E66</f>
        <v>0</v>
      </c>
      <c r="F65" s="183">
        <f>март!F38-Свод!F66</f>
        <v>0</v>
      </c>
      <c r="G65" s="183">
        <f>апрель!F38-Свод!G66</f>
        <v>0</v>
      </c>
      <c r="H65" s="124">
        <f>май!F38-Свод!H66</f>
        <v>318</v>
      </c>
      <c r="I65" s="124">
        <f>июнь!F38-Свод!I66</f>
        <v>406.78</v>
      </c>
      <c r="J65" s="125">
        <f>июль!F38-Свод!J66</f>
        <v>9236</v>
      </c>
      <c r="K65" s="125">
        <f>август!F38-август!F33</f>
        <v>635.4</v>
      </c>
      <c r="L65" s="125">
        <f>сентябрь!F38-сентябрь!F33</f>
        <v>1192</v>
      </c>
      <c r="M65" s="125">
        <f>октябрь!F38-Свод!M66</f>
        <v>11</v>
      </c>
      <c r="N65" s="125">
        <f>ноябрь!F38-Свод!N66</f>
        <v>7968.9</v>
      </c>
      <c r="O65" s="125">
        <f>декабрь!F38-Свод!O66</f>
        <v>5432.8</v>
      </c>
      <c r="P65" s="124">
        <f t="shared" si="10"/>
        <v>25200.88</v>
      </c>
      <c r="Q65" s="125">
        <f>P65</f>
        <v>25200.88</v>
      </c>
      <c r="R65" s="153">
        <f t="shared" si="11"/>
        <v>0</v>
      </c>
    </row>
    <row r="66" spans="1:18" ht="15" customHeight="1">
      <c r="A66" s="122"/>
      <c r="B66" s="154" t="s">
        <v>129</v>
      </c>
      <c r="C66" s="157"/>
      <c r="D66" s="164">
        <f>январь!G33</f>
        <v>0</v>
      </c>
      <c r="E66" s="164">
        <f>февраль!G33</f>
        <v>0</v>
      </c>
      <c r="F66" s="164">
        <f>март!G33</f>
        <v>0</v>
      </c>
      <c r="G66" s="183">
        <f>апрель!G33</f>
        <v>0</v>
      </c>
      <c r="H66" s="124">
        <f>май!G29</f>
        <v>0</v>
      </c>
      <c r="I66" s="124">
        <f>июнь!G29</f>
        <v>0</v>
      </c>
      <c r="J66" s="125">
        <f>июль!G33</f>
        <v>60</v>
      </c>
      <c r="K66" s="125">
        <f>август!G33</f>
        <v>63</v>
      </c>
      <c r="L66" s="125">
        <f>сентябрь!G33</f>
        <v>66</v>
      </c>
      <c r="M66" s="125">
        <f>октябрь!G33</f>
        <v>1571</v>
      </c>
      <c r="N66" s="125">
        <f>ноябрь!G33</f>
        <v>0</v>
      </c>
      <c r="O66" s="190">
        <f>декабрь!G33</f>
        <v>64</v>
      </c>
      <c r="P66" s="124">
        <f t="shared" si="10"/>
        <v>1824</v>
      </c>
      <c r="Q66" s="125">
        <f>P66</f>
        <v>1824</v>
      </c>
      <c r="R66" s="153">
        <f t="shared" si="11"/>
        <v>0</v>
      </c>
    </row>
    <row r="67" spans="1:18" ht="15">
      <c r="A67" s="122"/>
      <c r="B67" s="154" t="s">
        <v>136</v>
      </c>
      <c r="C67" s="157"/>
      <c r="D67" s="164">
        <f>январь!G34</f>
        <v>0</v>
      </c>
      <c r="E67" s="164">
        <f>февраль!G34</f>
        <v>0</v>
      </c>
      <c r="F67" s="164">
        <f>март!G34</f>
        <v>0</v>
      </c>
      <c r="G67" s="183">
        <f>апрель!G34</f>
        <v>0</v>
      </c>
      <c r="H67" s="124">
        <f>май!G34</f>
        <v>4384.92</v>
      </c>
      <c r="I67" s="124">
        <f>июнь!G34</f>
        <v>0</v>
      </c>
      <c r="J67" s="125">
        <f>июль!G34</f>
        <v>0</v>
      </c>
      <c r="K67" s="125">
        <f>август!G34</f>
        <v>0</v>
      </c>
      <c r="L67" s="125">
        <f>сентябрь!G34</f>
        <v>0</v>
      </c>
      <c r="M67" s="125">
        <f>октябрь!G34</f>
        <v>0</v>
      </c>
      <c r="N67" s="125">
        <f>ноябрь!G34</f>
        <v>0</v>
      </c>
      <c r="O67" s="190">
        <f>декабрь!G34</f>
        <v>0</v>
      </c>
      <c r="P67" s="124">
        <f t="shared" si="10"/>
        <v>4384.92</v>
      </c>
      <c r="Q67" s="125">
        <f>P67</f>
        <v>4384.92</v>
      </c>
      <c r="R67" s="153">
        <f t="shared" si="11"/>
        <v>0</v>
      </c>
    </row>
    <row r="68" spans="1:18" ht="15">
      <c r="A68" s="122"/>
      <c r="B68" s="156" t="s">
        <v>48</v>
      </c>
      <c r="C68" s="124">
        <f>C69+C70+C71</f>
        <v>0</v>
      </c>
      <c r="D68" s="124">
        <f aca="true" t="shared" si="14" ref="D68:Q68">D69+D70+D71</f>
        <v>0</v>
      </c>
      <c r="E68" s="124">
        <f t="shared" si="14"/>
        <v>0</v>
      </c>
      <c r="F68" s="124">
        <f t="shared" si="14"/>
        <v>0</v>
      </c>
      <c r="G68" s="124">
        <f t="shared" si="14"/>
        <v>0</v>
      </c>
      <c r="H68" s="124">
        <f t="shared" si="14"/>
        <v>0</v>
      </c>
      <c r="I68" s="124">
        <f t="shared" si="14"/>
        <v>0</v>
      </c>
      <c r="J68" s="124">
        <f t="shared" si="14"/>
        <v>0</v>
      </c>
      <c r="K68" s="124">
        <f t="shared" si="14"/>
        <v>0</v>
      </c>
      <c r="L68" s="124">
        <f t="shared" si="14"/>
        <v>0</v>
      </c>
      <c r="M68" s="124">
        <f t="shared" si="14"/>
        <v>0</v>
      </c>
      <c r="N68" s="124">
        <f t="shared" si="14"/>
        <v>0</v>
      </c>
      <c r="O68" s="124">
        <f t="shared" si="14"/>
        <v>0</v>
      </c>
      <c r="P68" s="124">
        <f t="shared" si="14"/>
        <v>0</v>
      </c>
      <c r="Q68" s="124">
        <f t="shared" si="14"/>
        <v>0</v>
      </c>
      <c r="R68" s="153">
        <f t="shared" si="11"/>
        <v>0</v>
      </c>
    </row>
    <row r="69" spans="1:19" s="132" customFormat="1" ht="15">
      <c r="A69" s="128"/>
      <c r="B69" s="200"/>
      <c r="C69" s="118"/>
      <c r="D69" s="184">
        <f>январь!E36</f>
        <v>0</v>
      </c>
      <c r="E69" s="164">
        <f>февраль!G36</f>
        <v>0</v>
      </c>
      <c r="F69" s="164">
        <f>март!G36</f>
        <v>0</v>
      </c>
      <c r="G69" s="183">
        <f>апрель!G36</f>
        <v>0</v>
      </c>
      <c r="H69" s="118">
        <f>май!G36</f>
        <v>0</v>
      </c>
      <c r="I69" s="130">
        <f>июль!F36</f>
        <v>0</v>
      </c>
      <c r="J69" s="130">
        <f>июль!G36</f>
        <v>0</v>
      </c>
      <c r="K69" s="125">
        <f>август!G36</f>
        <v>0</v>
      </c>
      <c r="L69" s="130">
        <f>сентябрь!G35</f>
        <v>0</v>
      </c>
      <c r="M69" s="130">
        <f>октябрь!G36</f>
        <v>0</v>
      </c>
      <c r="N69" s="130">
        <f>ноябрь!G36</f>
        <v>0</v>
      </c>
      <c r="O69" s="189">
        <f>декабрь!G36</f>
        <v>0</v>
      </c>
      <c r="P69" s="118">
        <f t="shared" si="10"/>
        <v>0</v>
      </c>
      <c r="Q69" s="118"/>
      <c r="R69" s="153">
        <f t="shared" si="11"/>
        <v>0</v>
      </c>
      <c r="S69" s="131"/>
    </row>
    <row r="70" spans="1:19" s="132" customFormat="1" ht="15">
      <c r="A70" s="128"/>
      <c r="B70" s="129"/>
      <c r="C70" s="118"/>
      <c r="D70" s="184">
        <f>январь!E37</f>
        <v>0</v>
      </c>
      <c r="E70" s="164">
        <f>февраль!G37</f>
        <v>0</v>
      </c>
      <c r="F70" s="164">
        <f>март!G37</f>
        <v>0</v>
      </c>
      <c r="G70" s="183">
        <f>апрель!G37</f>
        <v>0</v>
      </c>
      <c r="H70" s="118">
        <f>май!G37</f>
        <v>0</v>
      </c>
      <c r="I70" s="118">
        <f>июнь!G37</f>
        <v>0</v>
      </c>
      <c r="J70" s="130">
        <f>июль!G37</f>
        <v>0</v>
      </c>
      <c r="K70" s="125">
        <f>август!G37</f>
        <v>0</v>
      </c>
      <c r="L70" s="130">
        <f>сентябрь!G36</f>
        <v>0</v>
      </c>
      <c r="M70" s="130">
        <f>октябрь!G37</f>
        <v>0</v>
      </c>
      <c r="N70" s="130">
        <f>ноябрь!G33</f>
        <v>0</v>
      </c>
      <c r="O70" s="189">
        <f>декабрь!G37</f>
        <v>0</v>
      </c>
      <c r="P70" s="118">
        <f t="shared" si="10"/>
        <v>0</v>
      </c>
      <c r="Q70" s="118"/>
      <c r="R70" s="153">
        <f t="shared" si="11"/>
        <v>0</v>
      </c>
      <c r="S70" s="131"/>
    </row>
    <row r="71" spans="1:19" s="132" customFormat="1" ht="15">
      <c r="A71" s="128"/>
      <c r="B71" s="129"/>
      <c r="C71" s="128"/>
      <c r="D71" s="128"/>
      <c r="E71" s="128"/>
      <c r="F71" s="184"/>
      <c r="G71" s="184"/>
      <c r="H71" s="118"/>
      <c r="I71" s="118"/>
      <c r="J71" s="130"/>
      <c r="K71" s="130"/>
      <c r="L71" s="130"/>
      <c r="M71" s="130"/>
      <c r="N71" s="130"/>
      <c r="O71" s="189"/>
      <c r="P71" s="118">
        <f t="shared" si="10"/>
        <v>0</v>
      </c>
      <c r="Q71" s="118"/>
      <c r="R71" s="153">
        <f t="shared" si="11"/>
        <v>0</v>
      </c>
      <c r="S71" s="131"/>
    </row>
    <row r="72" spans="1:26" s="114" customFormat="1" ht="15">
      <c r="A72" s="110">
        <v>3</v>
      </c>
      <c r="B72" s="162" t="s">
        <v>139</v>
      </c>
      <c r="C72" s="169">
        <f>C73+C74+C75+C76</f>
        <v>0</v>
      </c>
      <c r="D72" s="169">
        <f aca="true" t="shared" si="15" ref="D72:Q72">D73+D74+D75+D76</f>
        <v>0</v>
      </c>
      <c r="E72" s="169">
        <f t="shared" si="15"/>
        <v>0</v>
      </c>
      <c r="F72" s="169">
        <f t="shared" si="15"/>
        <v>0</v>
      </c>
      <c r="G72" s="169">
        <f t="shared" si="15"/>
        <v>0</v>
      </c>
      <c r="H72" s="169">
        <f t="shared" si="15"/>
        <v>4779.23</v>
      </c>
      <c r="I72" s="169">
        <f t="shared" si="15"/>
        <v>2755.31</v>
      </c>
      <c r="J72" s="169">
        <f t="shared" si="15"/>
        <v>2590.32</v>
      </c>
      <c r="K72" s="169">
        <f t="shared" si="15"/>
        <v>2331.28</v>
      </c>
      <c r="L72" s="169">
        <f t="shared" si="15"/>
        <v>2446.63</v>
      </c>
      <c r="M72" s="169">
        <f t="shared" si="15"/>
        <v>5646.42</v>
      </c>
      <c r="N72" s="169">
        <f t="shared" si="15"/>
        <v>133442.21</v>
      </c>
      <c r="O72" s="169">
        <f t="shared" si="15"/>
        <v>11912.08</v>
      </c>
      <c r="P72" s="186">
        <f t="shared" si="10"/>
        <v>165903.47999999998</v>
      </c>
      <c r="Q72" s="169">
        <f t="shared" si="15"/>
        <v>163041.1</v>
      </c>
      <c r="R72" s="159">
        <f t="shared" si="11"/>
        <v>2862.3799999999756</v>
      </c>
      <c r="S72" s="113"/>
      <c r="X72" s="113" t="e">
        <f>#REF!+#REF!</f>
        <v>#REF!</v>
      </c>
      <c r="Z72" s="113">
        <v>1365644.8953411141</v>
      </c>
    </row>
    <row r="73" spans="1:18" ht="15" customHeight="1">
      <c r="A73" s="122"/>
      <c r="B73" s="150" t="s">
        <v>132</v>
      </c>
      <c r="C73" s="124"/>
      <c r="D73" s="124">
        <f>январь!E42</f>
        <v>0</v>
      </c>
      <c r="E73" s="124">
        <f>февраль!E42</f>
        <v>0</v>
      </c>
      <c r="F73" s="124">
        <f>март!E42</f>
        <v>0</v>
      </c>
      <c r="G73" s="124">
        <f>апрель!E42</f>
        <v>0</v>
      </c>
      <c r="H73" s="124">
        <f>май!E42</f>
        <v>4779.23</v>
      </c>
      <c r="I73" s="124">
        <f>июнь!E42</f>
        <v>2755.31</v>
      </c>
      <c r="J73" s="124">
        <f>июль!E42</f>
        <v>2590.32</v>
      </c>
      <c r="K73" s="124">
        <f>август!E42</f>
        <v>2081.28</v>
      </c>
      <c r="L73" s="124">
        <f>сентябрь!E42</f>
        <v>2446.63</v>
      </c>
      <c r="M73" s="124">
        <f>октябрь!E42</f>
        <v>2431.92</v>
      </c>
      <c r="N73" s="124">
        <f>ноябрь!E42</f>
        <v>2152.21</v>
      </c>
      <c r="O73" s="124">
        <f>декабрь!E42</f>
        <v>2862.38</v>
      </c>
      <c r="P73" s="124">
        <f t="shared" si="10"/>
        <v>22099.280000000002</v>
      </c>
      <c r="Q73" s="125">
        <f>P73-O73</f>
        <v>19236.9</v>
      </c>
      <c r="R73" s="153">
        <f t="shared" si="11"/>
        <v>2862.380000000001</v>
      </c>
    </row>
    <row r="74" spans="1:26" ht="15">
      <c r="A74" s="122"/>
      <c r="B74" s="154" t="s">
        <v>128</v>
      </c>
      <c r="C74" s="124"/>
      <c r="D74" s="124">
        <f>январь!F47</f>
        <v>0</v>
      </c>
      <c r="E74" s="124">
        <f>февраль!F47-Свод!F75</f>
        <v>0</v>
      </c>
      <c r="F74" s="124">
        <f>март!F47-Свод!F75</f>
        <v>0</v>
      </c>
      <c r="G74" s="124">
        <f>апрель!F47-Свод!G75</f>
        <v>0</v>
      </c>
      <c r="H74" s="124">
        <f>май!E43</f>
        <v>0</v>
      </c>
      <c r="I74" s="124">
        <f>июнь!E43</f>
        <v>0</v>
      </c>
      <c r="J74" s="124">
        <f>июль!E43</f>
        <v>0</v>
      </c>
      <c r="K74" s="124">
        <f>август!F42</f>
        <v>250</v>
      </c>
      <c r="L74" s="125">
        <f>сентябрь!F42-Свод!L75</f>
        <v>0</v>
      </c>
      <c r="M74" s="125">
        <f>октябрь!F42-Свод!M75</f>
        <v>3214.5</v>
      </c>
      <c r="N74" s="202">
        <f>ноябрь!F42-Свод!N75</f>
        <v>8005</v>
      </c>
      <c r="O74" s="125">
        <f>декабрь!F42-Свод!O75</f>
        <v>1889.7</v>
      </c>
      <c r="P74" s="124">
        <f t="shared" si="10"/>
        <v>13359.2</v>
      </c>
      <c r="Q74" s="125">
        <f>P74</f>
        <v>13359.2</v>
      </c>
      <c r="R74" s="153">
        <f t="shared" si="11"/>
        <v>0</v>
      </c>
      <c r="Z74" s="126" t="e">
        <f>Z72-X72</f>
        <v>#REF!</v>
      </c>
    </row>
    <row r="75" spans="1:21" ht="15">
      <c r="A75" s="122"/>
      <c r="B75" s="154" t="s">
        <v>129</v>
      </c>
      <c r="C75" s="124"/>
      <c r="D75" s="124">
        <f>январь!E44</f>
        <v>0</v>
      </c>
      <c r="E75" s="124">
        <f>февраль!F43</f>
        <v>0</v>
      </c>
      <c r="F75" s="124">
        <f>март!G43</f>
        <v>0</v>
      </c>
      <c r="G75" s="124">
        <f>апрель!G39</f>
        <v>0</v>
      </c>
      <c r="H75" s="124">
        <f>май!E44</f>
        <v>0</v>
      </c>
      <c r="I75" s="124">
        <f>июнь!E44</f>
        <v>0</v>
      </c>
      <c r="J75" s="124">
        <f>июль!E44</f>
        <v>0</v>
      </c>
      <c r="K75" s="124">
        <f>август!E44</f>
        <v>0</v>
      </c>
      <c r="L75" s="125">
        <f>сентябрь!G39</f>
        <v>0</v>
      </c>
      <c r="M75" s="125">
        <f>октябрь!G39</f>
        <v>0</v>
      </c>
      <c r="N75" s="125">
        <f>ноябрь!F43</f>
        <v>65</v>
      </c>
      <c r="O75" s="125">
        <f>декабрь!G43</f>
        <v>0</v>
      </c>
      <c r="P75" s="124">
        <f t="shared" si="10"/>
        <v>65</v>
      </c>
      <c r="Q75" s="125">
        <f>P75</f>
        <v>65</v>
      </c>
      <c r="R75" s="153">
        <f t="shared" si="11"/>
        <v>0</v>
      </c>
      <c r="U75" s="133"/>
    </row>
    <row r="76" spans="1:18" ht="15">
      <c r="A76" s="122"/>
      <c r="B76" s="156" t="s">
        <v>48</v>
      </c>
      <c r="C76" s="124">
        <f>C77+C78</f>
        <v>0</v>
      </c>
      <c r="D76" s="124">
        <f aca="true" t="shared" si="16" ref="D76:N76">D77+D78</f>
        <v>0</v>
      </c>
      <c r="E76" s="124">
        <f t="shared" si="16"/>
        <v>0</v>
      </c>
      <c r="F76" s="124">
        <f t="shared" si="16"/>
        <v>0</v>
      </c>
      <c r="G76" s="124">
        <f t="shared" si="16"/>
        <v>0</v>
      </c>
      <c r="H76" s="124">
        <f t="shared" si="16"/>
        <v>0</v>
      </c>
      <c r="I76" s="124">
        <f>I77+I78</f>
        <v>0</v>
      </c>
      <c r="J76" s="124">
        <f t="shared" si="16"/>
        <v>0</v>
      </c>
      <c r="K76" s="124">
        <f>август!E45</f>
        <v>0</v>
      </c>
      <c r="L76" s="124">
        <f t="shared" si="16"/>
        <v>0</v>
      </c>
      <c r="M76" s="124">
        <f t="shared" si="16"/>
        <v>0</v>
      </c>
      <c r="N76" s="124">
        <f t="shared" si="16"/>
        <v>123220</v>
      </c>
      <c r="O76" s="124">
        <f>O77+O78+O79</f>
        <v>7160</v>
      </c>
      <c r="P76" s="124">
        <f>P77+P78+P79</f>
        <v>130380</v>
      </c>
      <c r="Q76" s="124">
        <f>Q77+Q78+Q79</f>
        <v>130380</v>
      </c>
      <c r="R76" s="124">
        <f>R77+R78+R79</f>
        <v>0</v>
      </c>
    </row>
    <row r="77" spans="1:19" s="133" customFormat="1" ht="15">
      <c r="A77" s="134"/>
      <c r="B77" s="135" t="s">
        <v>205</v>
      </c>
      <c r="C77" s="44"/>
      <c r="D77" s="124">
        <f>январь!E45</f>
        <v>0</v>
      </c>
      <c r="E77" s="124">
        <f>февраль!E44</f>
        <v>0</v>
      </c>
      <c r="F77" s="124">
        <f>март!G45</f>
        <v>0</v>
      </c>
      <c r="G77" s="124">
        <f>апрель!G45</f>
        <v>0</v>
      </c>
      <c r="H77" s="124">
        <f>май!E45</f>
        <v>0</v>
      </c>
      <c r="I77" s="124">
        <f>июнь!E46</f>
        <v>0</v>
      </c>
      <c r="J77" s="124">
        <f>июль!E45</f>
        <v>0</v>
      </c>
      <c r="K77" s="124">
        <f>август!E45</f>
        <v>0</v>
      </c>
      <c r="L77" s="125">
        <f>сентябрь!G45</f>
        <v>0</v>
      </c>
      <c r="M77" s="130">
        <f>октябрь!G45</f>
        <v>0</v>
      </c>
      <c r="N77" s="130">
        <f>ноябрь!G45</f>
        <v>110720</v>
      </c>
      <c r="O77" s="130">
        <f>декабрь!G46</f>
        <v>4160</v>
      </c>
      <c r="P77" s="118">
        <f t="shared" si="10"/>
        <v>114880</v>
      </c>
      <c r="Q77" s="130">
        <f>P77</f>
        <v>114880</v>
      </c>
      <c r="R77" s="153">
        <f t="shared" si="11"/>
        <v>0</v>
      </c>
      <c r="S77" s="126"/>
    </row>
    <row r="78" spans="1:19" s="133" customFormat="1" ht="30">
      <c r="A78" s="134"/>
      <c r="B78" s="200" t="s">
        <v>206</v>
      </c>
      <c r="C78" s="124"/>
      <c r="D78" s="124"/>
      <c r="E78" s="124">
        <f>февраль!E46</f>
        <v>0</v>
      </c>
      <c r="F78" s="118">
        <f>март!G46</f>
        <v>0</v>
      </c>
      <c r="G78" s="124">
        <f>апрель!G46</f>
        <v>0</v>
      </c>
      <c r="H78" s="124">
        <f>май!E46</f>
        <v>0</v>
      </c>
      <c r="I78" s="124">
        <f>июнь!E46</f>
        <v>0</v>
      </c>
      <c r="J78" s="124">
        <f>июль!E46</f>
        <v>0</v>
      </c>
      <c r="K78" s="124">
        <f>август!E46</f>
        <v>0</v>
      </c>
      <c r="L78" s="130">
        <f>сентябрь!G46</f>
        <v>0</v>
      </c>
      <c r="M78" s="130">
        <f>октябрь!G46</f>
        <v>0</v>
      </c>
      <c r="N78" s="130">
        <f>ноябрь!G46</f>
        <v>12500</v>
      </c>
      <c r="O78" s="130"/>
      <c r="P78" s="118">
        <f t="shared" si="10"/>
        <v>12500</v>
      </c>
      <c r="Q78" s="130">
        <f>P78</f>
        <v>12500</v>
      </c>
      <c r="R78" s="167">
        <f t="shared" si="11"/>
        <v>0</v>
      </c>
      <c r="S78" s="126"/>
    </row>
    <row r="79" spans="1:19" s="133" customFormat="1" ht="30">
      <c r="A79" s="134"/>
      <c r="B79" s="201" t="s">
        <v>207</v>
      </c>
      <c r="C79" s="124"/>
      <c r="D79" s="124"/>
      <c r="E79" s="124"/>
      <c r="F79" s="118"/>
      <c r="G79" s="124"/>
      <c r="H79" s="124"/>
      <c r="I79" s="124"/>
      <c r="J79" s="125"/>
      <c r="K79" s="125"/>
      <c r="L79" s="130"/>
      <c r="M79" s="130"/>
      <c r="N79" s="130"/>
      <c r="O79" s="130">
        <f>декабрь!G45</f>
        <v>3000</v>
      </c>
      <c r="P79" s="118">
        <f t="shared" si="10"/>
        <v>3000</v>
      </c>
      <c r="Q79" s="130">
        <f>P79</f>
        <v>3000</v>
      </c>
      <c r="R79" s="167">
        <f t="shared" si="11"/>
        <v>0</v>
      </c>
      <c r="S79" s="126"/>
    </row>
    <row r="80" spans="1:19" s="175" customFormat="1" ht="28.5">
      <c r="A80" s="110">
        <v>4</v>
      </c>
      <c r="B80" s="172" t="s">
        <v>142</v>
      </c>
      <c r="C80" s="173"/>
      <c r="D80" s="169">
        <f>январь!E51</f>
        <v>0</v>
      </c>
      <c r="E80" s="169">
        <f>февраль!E51</f>
        <v>0</v>
      </c>
      <c r="F80" s="169">
        <f>март!E51</f>
        <v>0</v>
      </c>
      <c r="G80" s="169">
        <f>апрель!E51</f>
        <v>0</v>
      </c>
      <c r="H80" s="112">
        <f>май!E51</f>
        <v>13379.7612</v>
      </c>
      <c r="I80" s="112">
        <f>июнь!E51</f>
        <v>13379.7612</v>
      </c>
      <c r="J80" s="139">
        <f>июль!E51</f>
        <v>13379.7612</v>
      </c>
      <c r="K80" s="139">
        <f>август!E51</f>
        <v>13379.7612</v>
      </c>
      <c r="L80" s="139">
        <f>сентябрь!E51</f>
        <v>13379.7612</v>
      </c>
      <c r="M80" s="139">
        <f>октябрь!E51</f>
        <v>13379.7612</v>
      </c>
      <c r="N80" s="139">
        <f>ноябрь!E51</f>
        <v>13379.7612</v>
      </c>
      <c r="O80" s="139">
        <f>декабрь!E51</f>
        <v>13379.7612</v>
      </c>
      <c r="P80" s="112">
        <f t="shared" si="10"/>
        <v>107038.08960000004</v>
      </c>
      <c r="Q80" s="139">
        <f>P80-O80</f>
        <v>93658.32840000003</v>
      </c>
      <c r="R80" s="159">
        <f t="shared" si="11"/>
        <v>13379.761200000008</v>
      </c>
      <c r="S80" s="174"/>
    </row>
    <row r="81" spans="1:19" s="175" customFormat="1" ht="14.25">
      <c r="A81" s="138">
        <v>5</v>
      </c>
      <c r="B81" s="162" t="s">
        <v>143</v>
      </c>
      <c r="C81" s="173"/>
      <c r="D81" s="169">
        <f>январь!E52</f>
        <v>0</v>
      </c>
      <c r="E81" s="169">
        <f>февраль!E52</f>
        <v>0</v>
      </c>
      <c r="F81" s="169">
        <f>март!E52</f>
        <v>0</v>
      </c>
      <c r="G81" s="169">
        <f>апрель!E52</f>
        <v>0</v>
      </c>
      <c r="H81" s="112">
        <f>май!E52</f>
        <v>2353.52</v>
      </c>
      <c r="I81" s="112">
        <f>июнь!E52</f>
        <v>2353.52</v>
      </c>
      <c r="J81" s="139">
        <f>июль!E52</f>
        <v>2353.52</v>
      </c>
      <c r="K81" s="139">
        <f>август!E52</f>
        <v>2353.52</v>
      </c>
      <c r="L81" s="139">
        <f>сентябрь!E52</f>
        <v>2353.52</v>
      </c>
      <c r="M81" s="139">
        <f>октябрь!E52</f>
        <v>2353.52</v>
      </c>
      <c r="N81" s="139">
        <f>ноябрь!E52</f>
        <v>2353.52</v>
      </c>
      <c r="O81" s="139">
        <f>декабрь!E52</f>
        <v>2353.52</v>
      </c>
      <c r="P81" s="112">
        <f t="shared" si="10"/>
        <v>18828.16</v>
      </c>
      <c r="Q81" s="139">
        <f>P81-O81</f>
        <v>16474.64</v>
      </c>
      <c r="R81" s="159">
        <f t="shared" si="11"/>
        <v>2353.5200000000004</v>
      </c>
      <c r="S81" s="174"/>
    </row>
    <row r="82" spans="1:19" s="175" customFormat="1" ht="14.25">
      <c r="A82" s="138">
        <v>6</v>
      </c>
      <c r="B82" s="162" t="s">
        <v>144</v>
      </c>
      <c r="C82" s="173"/>
      <c r="D82" s="169">
        <f>январь!E53</f>
        <v>0</v>
      </c>
      <c r="E82" s="169">
        <f>февраль!E53</f>
        <v>0</v>
      </c>
      <c r="F82" s="169">
        <f>март!E53</f>
        <v>0</v>
      </c>
      <c r="G82" s="169">
        <f>апрель!E53</f>
        <v>0</v>
      </c>
      <c r="H82" s="112">
        <f>май!E53</f>
        <v>1235.598</v>
      </c>
      <c r="I82" s="112">
        <f>июнь!E53</f>
        <v>1235.598</v>
      </c>
      <c r="J82" s="139">
        <f>июль!E53</f>
        <v>1235.598</v>
      </c>
      <c r="K82" s="139">
        <f>август!E53</f>
        <v>1235.598</v>
      </c>
      <c r="L82" s="139">
        <f>сентябрь!E53</f>
        <v>1235.598</v>
      </c>
      <c r="M82" s="139">
        <f>октябрь!E53</f>
        <v>1235.598</v>
      </c>
      <c r="N82" s="139">
        <f>ноябрь!E53</f>
        <v>1235.598</v>
      </c>
      <c r="O82" s="139">
        <f>декабрь!E53</f>
        <v>1235.598</v>
      </c>
      <c r="P82" s="112">
        <f t="shared" si="10"/>
        <v>9884.784</v>
      </c>
      <c r="Q82" s="139">
        <f>P82-O82</f>
        <v>8649.186</v>
      </c>
      <c r="R82" s="159">
        <f t="shared" si="11"/>
        <v>1235.598</v>
      </c>
      <c r="S82" s="174"/>
    </row>
    <row r="83" spans="1:23" s="175" customFormat="1" ht="14.25">
      <c r="A83" s="138">
        <v>7</v>
      </c>
      <c r="B83" s="162" t="s">
        <v>44</v>
      </c>
      <c r="C83" s="173"/>
      <c r="D83" s="169">
        <f>январь!E54</f>
        <v>0</v>
      </c>
      <c r="E83" s="169">
        <f>февраль!E54</f>
        <v>0</v>
      </c>
      <c r="F83" s="169">
        <f>март!E54</f>
        <v>0</v>
      </c>
      <c r="G83" s="169">
        <f>апрель!E54</f>
        <v>0</v>
      </c>
      <c r="H83" s="112">
        <f>май!E54</f>
        <v>0</v>
      </c>
      <c r="I83" s="112">
        <f>июнь!E54</f>
        <v>1689.32</v>
      </c>
      <c r="J83" s="139">
        <f>июль!E54</f>
        <v>1910.78</v>
      </c>
      <c r="K83" s="139">
        <f>август!E54</f>
        <v>1702.09</v>
      </c>
      <c r="L83" s="139">
        <f>сентябрь!E54</f>
        <v>1753.02</v>
      </c>
      <c r="M83" s="139">
        <f>октябрь!E54</f>
        <v>2664.02</v>
      </c>
      <c r="N83" s="139">
        <f>ноябрь!E54</f>
        <v>2465.44</v>
      </c>
      <c r="O83" s="139">
        <f>декабрь!E54</f>
        <v>1899</v>
      </c>
      <c r="P83" s="112">
        <f t="shared" si="10"/>
        <v>14083.67</v>
      </c>
      <c r="Q83" s="112">
        <f>P83</f>
        <v>14083.67</v>
      </c>
      <c r="R83" s="159">
        <f t="shared" si="11"/>
        <v>0</v>
      </c>
      <c r="S83" s="174"/>
      <c r="U83" s="174"/>
      <c r="W83" s="111"/>
    </row>
    <row r="84" spans="1:23" s="175" customFormat="1" ht="14.25">
      <c r="A84" s="138">
        <v>8</v>
      </c>
      <c r="B84" s="162" t="s">
        <v>141</v>
      </c>
      <c r="C84" s="169">
        <f>C85+C86+C87+C88+C89+C90+C91+C92</f>
        <v>0</v>
      </c>
      <c r="D84" s="169">
        <f aca="true" t="shared" si="17" ref="D84:Q84">D85+D86+D87+D88+D89+D90+D91+D92</f>
        <v>0</v>
      </c>
      <c r="E84" s="169">
        <f t="shared" si="17"/>
        <v>0</v>
      </c>
      <c r="F84" s="169">
        <f t="shared" si="17"/>
        <v>0</v>
      </c>
      <c r="G84" s="169">
        <f t="shared" si="17"/>
        <v>0</v>
      </c>
      <c r="H84" s="169">
        <f t="shared" si="17"/>
        <v>0</v>
      </c>
      <c r="I84" s="169">
        <f t="shared" si="17"/>
        <v>4790.46</v>
      </c>
      <c r="J84" s="169">
        <f t="shared" si="17"/>
        <v>3922.3899999999994</v>
      </c>
      <c r="K84" s="169">
        <f t="shared" si="17"/>
        <v>5176.66</v>
      </c>
      <c r="L84" s="169">
        <f t="shared" si="17"/>
        <v>3961.6</v>
      </c>
      <c r="M84" s="169">
        <f t="shared" si="17"/>
        <v>3096.58</v>
      </c>
      <c r="N84" s="169">
        <f t="shared" si="17"/>
        <v>2731.3799999999997</v>
      </c>
      <c r="O84" s="169">
        <f t="shared" si="17"/>
        <v>3923.41</v>
      </c>
      <c r="P84" s="112">
        <f t="shared" si="10"/>
        <v>27602.479999999996</v>
      </c>
      <c r="Q84" s="169">
        <f t="shared" si="17"/>
        <v>27602.48</v>
      </c>
      <c r="R84" s="159">
        <f t="shared" si="11"/>
        <v>0</v>
      </c>
      <c r="S84" s="174"/>
      <c r="U84" s="174"/>
      <c r="W84" s="163"/>
    </row>
    <row r="85" spans="1:23" s="178" customFormat="1" ht="15">
      <c r="A85" s="136"/>
      <c r="B85" s="176" t="s">
        <v>64</v>
      </c>
      <c r="C85" s="118"/>
      <c r="D85" s="165">
        <f>январь!E56</f>
        <v>0</v>
      </c>
      <c r="E85" s="165">
        <f>февраль!E56</f>
        <v>0</v>
      </c>
      <c r="F85" s="165">
        <f>март!E56</f>
        <v>0</v>
      </c>
      <c r="G85" s="165">
        <f>апрель!E56</f>
        <v>0</v>
      </c>
      <c r="H85" s="118">
        <f>май!E56</f>
        <v>0</v>
      </c>
      <c r="I85" s="118">
        <f>июнь!E56</f>
        <v>1509.76</v>
      </c>
      <c r="J85" s="130">
        <f>июль!E56</f>
        <v>1363.39</v>
      </c>
      <c r="K85" s="130">
        <f>август!E56</f>
        <v>718.54</v>
      </c>
      <c r="L85" s="130">
        <f>сентябрь!E56</f>
        <v>619.97</v>
      </c>
      <c r="M85" s="130">
        <f>октябрь!E56</f>
        <v>648.88</v>
      </c>
      <c r="N85" s="130">
        <f>ноябрь!E56</f>
        <v>533.23</v>
      </c>
      <c r="O85" s="130">
        <f>декабрь!E56</f>
        <v>833.63</v>
      </c>
      <c r="P85" s="118">
        <f t="shared" si="10"/>
        <v>6227.400000000001</v>
      </c>
      <c r="Q85" s="118">
        <f>P85</f>
        <v>6227.400000000001</v>
      </c>
      <c r="R85" s="167">
        <f t="shared" si="11"/>
        <v>0</v>
      </c>
      <c r="S85" s="177"/>
      <c r="U85" s="177"/>
      <c r="W85" s="137"/>
    </row>
    <row r="86" spans="1:23" s="178" customFormat="1" ht="15">
      <c r="A86" s="136"/>
      <c r="B86" s="176" t="s">
        <v>145</v>
      </c>
      <c r="C86" s="118"/>
      <c r="D86" s="165">
        <f>январь!E57</f>
        <v>0</v>
      </c>
      <c r="E86" s="165">
        <f>февраль!E57</f>
        <v>0</v>
      </c>
      <c r="F86" s="165">
        <f>март!E57</f>
        <v>0</v>
      </c>
      <c r="G86" s="165">
        <f>апрель!E57</f>
        <v>0</v>
      </c>
      <c r="H86" s="118">
        <f>май!E57</f>
        <v>0</v>
      </c>
      <c r="I86" s="118">
        <f>июнь!E57</f>
        <v>417.98</v>
      </c>
      <c r="J86" s="130">
        <f>июль!E57</f>
        <v>107.95</v>
      </c>
      <c r="K86" s="130">
        <f>август!E57</f>
        <v>308.04</v>
      </c>
      <c r="L86" s="130">
        <f>сентябрь!E57</f>
        <v>351.7</v>
      </c>
      <c r="M86" s="130">
        <f>октябрь!E57</f>
        <v>528.89</v>
      </c>
      <c r="N86" s="130">
        <f>ноябрь!E57</f>
        <v>343.87</v>
      </c>
      <c r="O86" s="130">
        <f>декабрь!E57</f>
        <v>557.49</v>
      </c>
      <c r="P86" s="118">
        <f t="shared" si="10"/>
        <v>2615.92</v>
      </c>
      <c r="Q86" s="118">
        <f aca="true" t="shared" si="18" ref="Q86:Q92">P86</f>
        <v>2615.92</v>
      </c>
      <c r="R86" s="167">
        <f t="shared" si="11"/>
        <v>0</v>
      </c>
      <c r="S86" s="177"/>
      <c r="U86" s="177"/>
      <c r="W86" s="137"/>
    </row>
    <row r="87" spans="1:19" s="178" customFormat="1" ht="30">
      <c r="A87" s="136"/>
      <c r="B87" s="176" t="s">
        <v>66</v>
      </c>
      <c r="C87" s="118"/>
      <c r="D87" s="165">
        <f>январь!E58</f>
        <v>0</v>
      </c>
      <c r="E87" s="165">
        <f>февраль!E58</f>
        <v>0</v>
      </c>
      <c r="F87" s="165">
        <f>март!E58</f>
        <v>0</v>
      </c>
      <c r="G87" s="165">
        <f>апрель!E58</f>
        <v>0</v>
      </c>
      <c r="H87" s="118">
        <f>май!E58</f>
        <v>0</v>
      </c>
      <c r="I87" s="118">
        <f>июнь!E58</f>
        <v>1693.8</v>
      </c>
      <c r="J87" s="130">
        <f>июль!E58</f>
        <v>1276.3999999999999</v>
      </c>
      <c r="K87" s="130">
        <f>август!E58</f>
        <v>2110.13</v>
      </c>
      <c r="L87" s="130">
        <f>сентябрь!E58</f>
        <v>1369.54</v>
      </c>
      <c r="M87" s="130">
        <f>октябрь!E58</f>
        <v>771.39</v>
      </c>
      <c r="N87" s="130">
        <f>ноябрь!E58</f>
        <v>298.5</v>
      </c>
      <c r="O87" s="130">
        <f>декабрь!E58</f>
        <v>1049.54</v>
      </c>
      <c r="P87" s="118">
        <f t="shared" si="10"/>
        <v>8569.3</v>
      </c>
      <c r="Q87" s="118">
        <f t="shared" si="18"/>
        <v>8569.3</v>
      </c>
      <c r="R87" s="167">
        <f t="shared" si="11"/>
        <v>0</v>
      </c>
      <c r="S87" s="177"/>
    </row>
    <row r="88" spans="1:20" s="178" customFormat="1" ht="15">
      <c r="A88" s="136"/>
      <c r="B88" s="176" t="s">
        <v>71</v>
      </c>
      <c r="C88" s="118"/>
      <c r="D88" s="165">
        <f>январь!E59</f>
        <v>0</v>
      </c>
      <c r="E88" s="165">
        <f>февраль!E59</f>
        <v>0</v>
      </c>
      <c r="F88" s="165">
        <f>март!E59</f>
        <v>0</v>
      </c>
      <c r="G88" s="165">
        <f>апрель!E59</f>
        <v>0</v>
      </c>
      <c r="H88" s="118">
        <f>май!E59</f>
        <v>0</v>
      </c>
      <c r="I88" s="118">
        <f>июнь!E59</f>
        <v>777.43</v>
      </c>
      <c r="J88" s="130">
        <f>июль!E59</f>
        <v>777.43</v>
      </c>
      <c r="K88" s="130">
        <f>август!E59</f>
        <v>865.79</v>
      </c>
      <c r="L88" s="130">
        <f>сентябрь!E59</f>
        <v>865.79</v>
      </c>
      <c r="M88" s="130">
        <f>октябрь!E59</f>
        <v>865.79</v>
      </c>
      <c r="N88" s="130">
        <f>ноябрь!E59</f>
        <v>865.79</v>
      </c>
      <c r="O88" s="130">
        <f>декабрь!E59</f>
        <v>865.79</v>
      </c>
      <c r="P88" s="118">
        <f t="shared" si="10"/>
        <v>5883.8099999999995</v>
      </c>
      <c r="Q88" s="118">
        <f t="shared" si="18"/>
        <v>5883.8099999999995</v>
      </c>
      <c r="R88" s="167">
        <f t="shared" si="11"/>
        <v>0</v>
      </c>
      <c r="S88" s="177"/>
      <c r="T88" s="177"/>
    </row>
    <row r="89" spans="1:19" s="178" customFormat="1" ht="15">
      <c r="A89" s="136"/>
      <c r="B89" s="176" t="s">
        <v>76</v>
      </c>
      <c r="C89" s="118"/>
      <c r="D89" s="165">
        <f>январь!E60</f>
        <v>0</v>
      </c>
      <c r="E89" s="165">
        <f>февраль!E60</f>
        <v>0</v>
      </c>
      <c r="F89" s="165">
        <f>март!E60</f>
        <v>0</v>
      </c>
      <c r="G89" s="165">
        <f>апрель!E60</f>
        <v>0</v>
      </c>
      <c r="H89" s="118">
        <f>май!E60</f>
        <v>0</v>
      </c>
      <c r="I89" s="118">
        <f>июнь!E60</f>
        <v>0</v>
      </c>
      <c r="J89" s="130">
        <f>июль!E60</f>
        <v>0</v>
      </c>
      <c r="K89" s="130">
        <f>август!E60</f>
        <v>0</v>
      </c>
      <c r="L89" s="130">
        <f>сентябрь!E60</f>
        <v>0</v>
      </c>
      <c r="M89" s="130">
        <f>октябрь!E60</f>
        <v>0</v>
      </c>
      <c r="N89" s="130">
        <f>ноябрь!E60</f>
        <v>0</v>
      </c>
      <c r="O89" s="130">
        <f>декабрь!E60</f>
        <v>0</v>
      </c>
      <c r="P89" s="118">
        <f t="shared" si="10"/>
        <v>0</v>
      </c>
      <c r="Q89" s="118">
        <f t="shared" si="18"/>
        <v>0</v>
      </c>
      <c r="R89" s="167">
        <f t="shared" si="11"/>
        <v>0</v>
      </c>
      <c r="S89" s="177"/>
    </row>
    <row r="90" spans="1:20" s="178" customFormat="1" ht="15">
      <c r="A90" s="136"/>
      <c r="B90" s="176" t="s">
        <v>74</v>
      </c>
      <c r="C90" s="118"/>
      <c r="D90" s="165">
        <f>январь!E61</f>
        <v>0</v>
      </c>
      <c r="E90" s="165">
        <f>февраль!E61</f>
        <v>0</v>
      </c>
      <c r="F90" s="165">
        <f>март!E61</f>
        <v>0</v>
      </c>
      <c r="G90" s="165">
        <f>апрель!E61</f>
        <v>0</v>
      </c>
      <c r="H90" s="118">
        <f>май!E61</f>
        <v>0</v>
      </c>
      <c r="I90" s="118">
        <f>июнь!E61</f>
        <v>371.5</v>
      </c>
      <c r="J90" s="130">
        <f>июль!E61</f>
        <v>371.5</v>
      </c>
      <c r="K90" s="130">
        <f>август!E61</f>
        <v>1119.73</v>
      </c>
      <c r="L90" s="130">
        <f>сентябрь!E61</f>
        <v>687.81</v>
      </c>
      <c r="M90" s="130">
        <f>октябрь!E61</f>
        <v>252.59</v>
      </c>
      <c r="N90" s="130">
        <f>ноябрь!E61</f>
        <v>659.87</v>
      </c>
      <c r="O90" s="130">
        <f>декабрь!E61</f>
        <v>586.57</v>
      </c>
      <c r="P90" s="118">
        <f t="shared" si="10"/>
        <v>4049.57</v>
      </c>
      <c r="Q90" s="118">
        <f t="shared" si="18"/>
        <v>4049.57</v>
      </c>
      <c r="R90" s="167">
        <f t="shared" si="11"/>
        <v>0</v>
      </c>
      <c r="S90" s="177"/>
      <c r="T90" s="177"/>
    </row>
    <row r="91" spans="1:20" s="178" customFormat="1" ht="12.75" customHeight="1">
      <c r="A91" s="136"/>
      <c r="B91" s="176" t="s">
        <v>77</v>
      </c>
      <c r="C91" s="118"/>
      <c r="D91" s="165">
        <f>январь!E62</f>
        <v>0</v>
      </c>
      <c r="E91" s="165">
        <f>февраль!E62</f>
        <v>0</v>
      </c>
      <c r="F91" s="165">
        <f>март!E62</f>
        <v>0</v>
      </c>
      <c r="G91" s="165">
        <f>апрель!E62</f>
        <v>0</v>
      </c>
      <c r="H91" s="118">
        <f>май!E62</f>
        <v>0</v>
      </c>
      <c r="I91" s="118">
        <f>июнь!E62</f>
        <v>19.99</v>
      </c>
      <c r="J91" s="130">
        <f>июль!E62</f>
        <v>25.72</v>
      </c>
      <c r="K91" s="130">
        <f>август!E62</f>
        <v>54.43</v>
      </c>
      <c r="L91" s="130">
        <f>сентябрь!E62</f>
        <v>66.79</v>
      </c>
      <c r="M91" s="130">
        <f>октябрь!E62</f>
        <v>29.04</v>
      </c>
      <c r="N91" s="130">
        <f>ноябрь!E62</f>
        <v>30.12</v>
      </c>
      <c r="O91" s="130">
        <f>декабрь!E62</f>
        <v>30.39</v>
      </c>
      <c r="P91" s="118">
        <f t="shared" si="10"/>
        <v>256.48</v>
      </c>
      <c r="Q91" s="118">
        <f t="shared" si="18"/>
        <v>256.48</v>
      </c>
      <c r="R91" s="167">
        <f t="shared" si="11"/>
        <v>0</v>
      </c>
      <c r="S91" s="177"/>
      <c r="T91" s="177"/>
    </row>
    <row r="92" spans="1:19" s="178" customFormat="1" ht="15">
      <c r="A92" s="136"/>
      <c r="B92" s="176" t="s">
        <v>78</v>
      </c>
      <c r="C92" s="118"/>
      <c r="D92" s="165">
        <f>январь!E63</f>
        <v>0</v>
      </c>
      <c r="E92" s="165">
        <f>февраль!E63</f>
        <v>0</v>
      </c>
      <c r="F92" s="165">
        <f>март!E63</f>
        <v>0</v>
      </c>
      <c r="G92" s="165">
        <f>апрель!E63</f>
        <v>0</v>
      </c>
      <c r="H92" s="118">
        <f>май!E63</f>
        <v>0</v>
      </c>
      <c r="I92" s="118">
        <f>июнь!E63</f>
        <v>0</v>
      </c>
      <c r="J92" s="130">
        <f>июль!E63</f>
        <v>0</v>
      </c>
      <c r="K92" s="130">
        <f>август!E63</f>
        <v>0</v>
      </c>
      <c r="L92" s="130">
        <f>сентябрь!E63</f>
        <v>0</v>
      </c>
      <c r="M92" s="130">
        <f>октябрь!E63</f>
        <v>0</v>
      </c>
      <c r="N92" s="130">
        <f>ноябрь!E63</f>
        <v>0</v>
      </c>
      <c r="O92" s="130">
        <f>декабрь!E63</f>
        <v>0</v>
      </c>
      <c r="P92" s="118">
        <f t="shared" si="10"/>
        <v>0</v>
      </c>
      <c r="Q92" s="118">
        <f t="shared" si="18"/>
        <v>0</v>
      </c>
      <c r="R92" s="167">
        <f t="shared" si="11"/>
        <v>0</v>
      </c>
      <c r="S92" s="177"/>
    </row>
    <row r="93" spans="1:19" s="188" customFormat="1" ht="15">
      <c r="A93" s="185"/>
      <c r="B93" s="179" t="s">
        <v>209</v>
      </c>
      <c r="C93" s="186"/>
      <c r="D93" s="169">
        <f>январь!E66</f>
        <v>0</v>
      </c>
      <c r="E93" s="196">
        <f>февраль!E66</f>
        <v>0</v>
      </c>
      <c r="F93" s="169">
        <f>март!E66</f>
        <v>0</v>
      </c>
      <c r="G93" s="112">
        <f>апрель!E66</f>
        <v>4448.5</v>
      </c>
      <c r="H93" s="112">
        <f>май!E66</f>
        <v>4448.5</v>
      </c>
      <c r="I93" s="112">
        <f>июнь!E66</f>
        <v>4448.5</v>
      </c>
      <c r="J93" s="112">
        <f>июль!E66</f>
        <v>4448.5</v>
      </c>
      <c r="K93" s="139">
        <f>август!E66</f>
        <v>4448.5</v>
      </c>
      <c r="L93" s="112">
        <f>сентябрь!E66</f>
        <v>4448.5</v>
      </c>
      <c r="M93" s="112">
        <f>октябрь!E66</f>
        <v>4448.5</v>
      </c>
      <c r="N93" s="112">
        <f>ноябрь!E66</f>
        <v>4448.5</v>
      </c>
      <c r="O93" s="112">
        <f>декабрь!E66</f>
        <v>4448.5</v>
      </c>
      <c r="P93" s="112">
        <f t="shared" si="10"/>
        <v>40036.5</v>
      </c>
      <c r="Q93" s="112">
        <f>P93-O93</f>
        <v>35588</v>
      </c>
      <c r="R93" s="159">
        <f t="shared" si="11"/>
        <v>4448.5</v>
      </c>
      <c r="S93" s="187"/>
    </row>
    <row r="94" spans="1:21" s="114" customFormat="1" ht="14.25">
      <c r="A94" s="138"/>
      <c r="B94" s="111" t="s">
        <v>146</v>
      </c>
      <c r="C94" s="112">
        <f aca="true" t="shared" si="19" ref="C94:Q94">C84+C83+C82+C81+C80+C72+C63+C44+C93</f>
        <v>0</v>
      </c>
      <c r="D94" s="112">
        <f t="shared" si="19"/>
        <v>0</v>
      </c>
      <c r="E94" s="112">
        <f t="shared" si="19"/>
        <v>0</v>
      </c>
      <c r="F94" s="112">
        <f t="shared" si="19"/>
        <v>0</v>
      </c>
      <c r="G94" s="112">
        <f t="shared" si="19"/>
        <v>4448.5</v>
      </c>
      <c r="H94" s="112">
        <f t="shared" si="19"/>
        <v>134933.88919999998</v>
      </c>
      <c r="I94" s="112">
        <f t="shared" si="19"/>
        <v>126886.8292</v>
      </c>
      <c r="J94" s="112">
        <f t="shared" si="19"/>
        <v>130284.0192</v>
      </c>
      <c r="K94" s="112">
        <f t="shared" si="19"/>
        <v>122067.5092</v>
      </c>
      <c r="L94" s="112">
        <f t="shared" si="19"/>
        <v>118770.8792</v>
      </c>
      <c r="M94" s="112">
        <f t="shared" si="19"/>
        <v>123884.32919999998</v>
      </c>
      <c r="N94" s="112">
        <f t="shared" si="19"/>
        <v>258829.5992</v>
      </c>
      <c r="O94" s="112">
        <f t="shared" si="19"/>
        <v>131931.63919999998</v>
      </c>
      <c r="P94" s="112">
        <f t="shared" si="10"/>
        <v>1152037.1935999999</v>
      </c>
      <c r="Q94" s="112">
        <f t="shared" si="19"/>
        <v>1010427.5444</v>
      </c>
      <c r="R94" s="159">
        <f t="shared" si="11"/>
        <v>141609.64919999987</v>
      </c>
      <c r="S94" s="113"/>
      <c r="U94" s="113" t="e">
        <f>U75-#REF!</f>
        <v>#REF!</v>
      </c>
    </row>
    <row r="95" spans="2:20" s="140" customFormat="1" ht="15">
      <c r="B95" s="140" t="s">
        <v>118</v>
      </c>
      <c r="C95" s="124"/>
      <c r="D95" s="124">
        <f aca="true" t="shared" si="20" ref="D95:Q95">D17-D94</f>
        <v>0</v>
      </c>
      <c r="E95" s="124">
        <f t="shared" si="20"/>
        <v>0</v>
      </c>
      <c r="F95" s="124">
        <f t="shared" si="20"/>
        <v>0</v>
      </c>
      <c r="G95" s="124">
        <f t="shared" si="20"/>
        <v>-4448.5</v>
      </c>
      <c r="H95" s="124">
        <f t="shared" si="20"/>
        <v>-2457.7191999999923</v>
      </c>
      <c r="I95" s="124">
        <f t="shared" si="20"/>
        <v>11340.770800000013</v>
      </c>
      <c r="J95" s="124">
        <f t="shared" si="20"/>
        <v>7785.530799999993</v>
      </c>
      <c r="K95" s="124">
        <f t="shared" si="20"/>
        <v>17495.22080000001</v>
      </c>
      <c r="L95" s="124">
        <f t="shared" si="20"/>
        <v>20791.850800000015</v>
      </c>
      <c r="M95" s="124">
        <f t="shared" si="20"/>
        <v>-17899.139199999976</v>
      </c>
      <c r="N95" s="124">
        <f t="shared" si="20"/>
        <v>-121533.14920000001</v>
      </c>
      <c r="O95" s="124">
        <f t="shared" si="20"/>
        <v>-6066.939199999979</v>
      </c>
      <c r="P95" s="124">
        <f t="shared" si="20"/>
        <v>-94992.0736</v>
      </c>
      <c r="Q95" s="124">
        <f t="shared" si="20"/>
        <v>-143362.75439999998</v>
      </c>
      <c r="R95" s="153">
        <f>C95+P95</f>
        <v>-94992.0736</v>
      </c>
      <c r="S95" s="141"/>
      <c r="T95" s="141" t="e">
        <f>S95-#REF!</f>
        <v>#REF!</v>
      </c>
    </row>
    <row r="96" spans="2:19" s="76" customFormat="1" ht="15.75">
      <c r="B96" s="204" t="s">
        <v>104</v>
      </c>
      <c r="C96" s="205"/>
      <c r="D96" s="89"/>
      <c r="E96" s="89"/>
      <c r="F96" s="89"/>
      <c r="G96" s="89"/>
      <c r="H96" s="89"/>
      <c r="I96" s="89"/>
      <c r="J96" s="90"/>
      <c r="K96" s="90"/>
      <c r="L96" s="90"/>
      <c r="M96" s="90"/>
      <c r="N96" s="90"/>
      <c r="O96" s="90"/>
      <c r="P96" s="124"/>
      <c r="Q96" s="90"/>
      <c r="R96" s="153"/>
      <c r="S96" s="80"/>
    </row>
    <row r="97" spans="1:18" ht="15">
      <c r="A97" s="122"/>
      <c r="B97" s="123" t="s">
        <v>58</v>
      </c>
      <c r="C97" s="124"/>
      <c r="D97" s="124">
        <f>январь!E69</f>
        <v>0</v>
      </c>
      <c r="E97" s="124">
        <f>февраль!E69</f>
        <v>0</v>
      </c>
      <c r="F97" s="124">
        <f>март!E69</f>
        <v>0</v>
      </c>
      <c r="G97" s="124">
        <f>апрель!E69</f>
        <v>0</v>
      </c>
      <c r="H97" s="124">
        <f>май!E69</f>
        <v>41328.39</v>
      </c>
      <c r="I97" s="124">
        <f>июнь!E69</f>
        <v>34333.47</v>
      </c>
      <c r="J97" s="125">
        <f>июль!E69</f>
        <v>35393.15</v>
      </c>
      <c r="K97" s="125">
        <f>август!E69</f>
        <v>39362.31</v>
      </c>
      <c r="L97" s="125">
        <f>сентябрь!E69</f>
        <v>42102.71</v>
      </c>
      <c r="M97" s="125">
        <f>октябрь!E69</f>
        <v>46726.03</v>
      </c>
      <c r="N97" s="125">
        <f>ноябрь!E69</f>
        <v>45046.43</v>
      </c>
      <c r="O97" s="125">
        <f>декабрь!E69</f>
        <v>42306.03</v>
      </c>
      <c r="P97" s="124">
        <f t="shared" si="10"/>
        <v>326598.52</v>
      </c>
      <c r="Q97" s="125">
        <f>Q8+Q23</f>
        <v>279410.29</v>
      </c>
      <c r="R97" s="153">
        <f t="shared" si="11"/>
        <v>47188.23000000004</v>
      </c>
    </row>
    <row r="98" spans="1:22" ht="15">
      <c r="A98" s="122"/>
      <c r="B98" s="123" t="s">
        <v>108</v>
      </c>
      <c r="C98" s="124"/>
      <c r="D98" s="124">
        <f>январь!E70</f>
        <v>0</v>
      </c>
      <c r="E98" s="124">
        <f>февраль!E70</f>
        <v>0</v>
      </c>
      <c r="F98" s="124">
        <f>март!E70</f>
        <v>0</v>
      </c>
      <c r="G98" s="124">
        <f>апрель!E70</f>
        <v>0</v>
      </c>
      <c r="H98" s="124">
        <f>май!E70</f>
        <v>32563.21</v>
      </c>
      <c r="I98" s="124">
        <f>июнь!E70</f>
        <v>0</v>
      </c>
      <c r="J98" s="125">
        <f>июль!E70</f>
        <v>0</v>
      </c>
      <c r="K98" s="125">
        <f>август!E70</f>
        <v>0</v>
      </c>
      <c r="L98" s="125">
        <f>сентябрь!E70</f>
        <v>6883.31</v>
      </c>
      <c r="M98" s="125">
        <f>октябрь!E70</f>
        <v>60501.11</v>
      </c>
      <c r="N98" s="125">
        <f>ноябрь!E70</f>
        <v>81544.97</v>
      </c>
      <c r="O98" s="125">
        <f>декабрь!E70</f>
        <v>134786.37</v>
      </c>
      <c r="P98" s="124">
        <f t="shared" si="10"/>
        <v>316278.97</v>
      </c>
      <c r="Q98" s="125">
        <f>Q25</f>
        <v>172525.76</v>
      </c>
      <c r="R98" s="153">
        <f t="shared" si="11"/>
        <v>143753.20999999996</v>
      </c>
      <c r="U98" s="142" t="e">
        <f>#REF!+#REF!</f>
        <v>#REF!</v>
      </c>
      <c r="V98" s="133" t="e">
        <f>U98*5%</f>
        <v>#REF!</v>
      </c>
    </row>
    <row r="99" spans="1:18" ht="15">
      <c r="A99" s="122"/>
      <c r="B99" s="123" t="s">
        <v>60</v>
      </c>
      <c r="C99" s="124"/>
      <c r="D99" s="124">
        <f>январь!E71</f>
        <v>0</v>
      </c>
      <c r="E99" s="124">
        <f>февраль!E71</f>
        <v>0</v>
      </c>
      <c r="F99" s="124">
        <f>март!E71</f>
        <v>0</v>
      </c>
      <c r="G99" s="124">
        <f>апрель!E71</f>
        <v>0</v>
      </c>
      <c r="H99" s="124">
        <f>май!E71</f>
        <v>19562.1</v>
      </c>
      <c r="I99" s="124">
        <f>июнь!E71</f>
        <v>22622.36</v>
      </c>
      <c r="J99" s="125">
        <f>июль!E71</f>
        <v>24772.13</v>
      </c>
      <c r="K99" s="125">
        <f>август!E71</f>
        <v>16195.31</v>
      </c>
      <c r="L99" s="125">
        <f>сентябрь!E71</f>
        <v>25952.41</v>
      </c>
      <c r="M99" s="125">
        <f>октябрь!E71</f>
        <v>27698.78</v>
      </c>
      <c r="N99" s="125">
        <f>ноябрь!E71</f>
        <v>31138.89</v>
      </c>
      <c r="O99" s="125">
        <f>декабрь!E71</f>
        <v>24964.87</v>
      </c>
      <c r="P99" s="124">
        <f t="shared" si="10"/>
        <v>192906.84999999998</v>
      </c>
      <c r="Q99" s="125">
        <f>Q7+Q26</f>
        <v>144023.91999999998</v>
      </c>
      <c r="R99" s="153">
        <f t="shared" si="11"/>
        <v>48882.92999999999</v>
      </c>
    </row>
    <row r="100" spans="1:18" ht="15">
      <c r="A100" s="122" t="s">
        <v>97</v>
      </c>
      <c r="B100" s="123" t="s">
        <v>113</v>
      </c>
      <c r="C100" s="124"/>
      <c r="D100" s="124">
        <f>январь!E72</f>
        <v>0</v>
      </c>
      <c r="E100" s="124">
        <f>февраль!E72</f>
        <v>0</v>
      </c>
      <c r="F100" s="124">
        <f>март!E72</f>
        <v>0</v>
      </c>
      <c r="G100" s="124">
        <f>апрель!E72</f>
        <v>0</v>
      </c>
      <c r="H100" s="124">
        <f>май!E72</f>
        <v>10129.38</v>
      </c>
      <c r="I100" s="124">
        <f>июнь!E72</f>
        <v>11558.71</v>
      </c>
      <c r="J100" s="125">
        <f>июль!E72</f>
        <v>11786.05</v>
      </c>
      <c r="K100" s="125">
        <f>август!E72</f>
        <v>13389.85</v>
      </c>
      <c r="L100" s="125">
        <f>сентябрь!E72</f>
        <v>11015.68</v>
      </c>
      <c r="M100" s="125">
        <f>октябрь!E72</f>
        <v>12015.33</v>
      </c>
      <c r="N100" s="125">
        <f>ноябрь!E72</f>
        <v>11547.2</v>
      </c>
      <c r="O100" s="125">
        <f>декабрь!E72</f>
        <v>11215.61</v>
      </c>
      <c r="P100" s="124">
        <f t="shared" si="10"/>
        <v>92657.81</v>
      </c>
      <c r="Q100" s="125">
        <f>Q5+Q20-Q56</f>
        <v>59048.060000000005</v>
      </c>
      <c r="R100" s="153">
        <f t="shared" si="11"/>
        <v>33609.74999999999</v>
      </c>
    </row>
    <row r="101" spans="1:19" ht="15">
      <c r="A101" s="122"/>
      <c r="B101" s="123" t="s">
        <v>62</v>
      </c>
      <c r="C101" s="124"/>
      <c r="D101" s="124">
        <f>январь!E73</f>
        <v>0</v>
      </c>
      <c r="E101" s="124">
        <f>февраль!E73</f>
        <v>0</v>
      </c>
      <c r="F101" s="124">
        <f>март!E73</f>
        <v>0</v>
      </c>
      <c r="G101" s="124">
        <f>апрель!E73</f>
        <v>0</v>
      </c>
      <c r="H101" s="124">
        <f>май!E73</f>
        <v>12992.31</v>
      </c>
      <c r="I101" s="124">
        <f>июнь!E73</f>
        <v>10471.76</v>
      </c>
      <c r="J101" s="125">
        <f>июль!E73</f>
        <v>13161.76</v>
      </c>
      <c r="K101" s="125">
        <f>август!E73</f>
        <v>12899.89</v>
      </c>
      <c r="L101" s="125">
        <f>сентябрь!E73</f>
        <v>13998.23</v>
      </c>
      <c r="M101" s="125">
        <f>октябрь!E73</f>
        <v>14451.86</v>
      </c>
      <c r="N101" s="125">
        <f>ноябрь!E73</f>
        <v>14926.76</v>
      </c>
      <c r="O101" s="125">
        <f>декабрь!E73</f>
        <v>13285.49</v>
      </c>
      <c r="P101" s="124">
        <f t="shared" si="10"/>
        <v>106188.06</v>
      </c>
      <c r="Q101" s="125">
        <f>Q6+Q22</f>
        <v>73482.01999999999</v>
      </c>
      <c r="R101" s="153">
        <f t="shared" si="11"/>
        <v>32706.040000000008</v>
      </c>
      <c r="S101" s="126">
        <f>P98+P99</f>
        <v>509185.81999999995</v>
      </c>
    </row>
    <row r="102" spans="1:19" s="114" customFormat="1" ht="14.25">
      <c r="A102" s="138"/>
      <c r="B102" s="111" t="s">
        <v>147</v>
      </c>
      <c r="C102" s="112">
        <f aca="true" t="shared" si="21" ref="C102:Q102">SUM(C97:C101)</f>
        <v>0</v>
      </c>
      <c r="D102" s="112">
        <f t="shared" si="21"/>
        <v>0</v>
      </c>
      <c r="E102" s="112">
        <f t="shared" si="21"/>
        <v>0</v>
      </c>
      <c r="F102" s="112">
        <f t="shared" si="21"/>
        <v>0</v>
      </c>
      <c r="G102" s="112">
        <f t="shared" si="21"/>
        <v>0</v>
      </c>
      <c r="H102" s="112">
        <f t="shared" si="21"/>
        <v>116575.39000000001</v>
      </c>
      <c r="I102" s="112">
        <f t="shared" si="21"/>
        <v>78986.3</v>
      </c>
      <c r="J102" s="112">
        <f t="shared" si="21"/>
        <v>85113.09</v>
      </c>
      <c r="K102" s="112">
        <f t="shared" si="21"/>
        <v>81847.36</v>
      </c>
      <c r="L102" s="112">
        <f t="shared" si="21"/>
        <v>99952.33999999998</v>
      </c>
      <c r="M102" s="112">
        <f t="shared" si="21"/>
        <v>161393.11</v>
      </c>
      <c r="N102" s="112">
        <f t="shared" si="21"/>
        <v>184204.25</v>
      </c>
      <c r="O102" s="112">
        <f t="shared" si="21"/>
        <v>226558.37</v>
      </c>
      <c r="P102" s="112">
        <f t="shared" si="21"/>
        <v>1034630.21</v>
      </c>
      <c r="Q102" s="112">
        <f t="shared" si="21"/>
        <v>728490.05</v>
      </c>
      <c r="R102" s="159">
        <f t="shared" si="11"/>
        <v>306140.1599999999</v>
      </c>
      <c r="S102" s="113"/>
    </row>
    <row r="103" spans="2:20" s="140" customFormat="1" ht="15">
      <c r="B103" s="140" t="s">
        <v>118</v>
      </c>
      <c r="C103" s="141"/>
      <c r="D103" s="141">
        <f aca="true" t="shared" si="22" ref="D103:P103">D35-D102</f>
        <v>0</v>
      </c>
      <c r="E103" s="141">
        <f t="shared" si="22"/>
        <v>0</v>
      </c>
      <c r="F103" s="141">
        <f t="shared" si="22"/>
        <v>0</v>
      </c>
      <c r="G103" s="141">
        <f t="shared" si="22"/>
        <v>0</v>
      </c>
      <c r="H103" s="141">
        <f t="shared" si="22"/>
        <v>1230.3500000000058</v>
      </c>
      <c r="I103" s="141">
        <f t="shared" si="22"/>
        <v>8397.309999999998</v>
      </c>
      <c r="J103" s="141">
        <f t="shared" si="22"/>
        <v>-16491.699999999997</v>
      </c>
      <c r="K103" s="141">
        <f t="shared" si="22"/>
        <v>-10671.64</v>
      </c>
      <c r="L103" s="141">
        <f t="shared" si="22"/>
        <v>-17.669999999983702</v>
      </c>
      <c r="M103" s="141">
        <f t="shared" si="22"/>
        <v>-21399.379999999976</v>
      </c>
      <c r="N103" s="141">
        <f t="shared" si="22"/>
        <v>-3179.6999999999825</v>
      </c>
      <c r="O103" s="141">
        <f t="shared" si="22"/>
        <v>9930.440000000002</v>
      </c>
      <c r="P103" s="141">
        <f t="shared" si="22"/>
        <v>-32201.989999999758</v>
      </c>
      <c r="Q103" s="141">
        <f>Q35-Q102</f>
        <v>-77179.96999999997</v>
      </c>
      <c r="R103" s="153">
        <f>C103+P103</f>
        <v>-32201.989999999758</v>
      </c>
      <c r="S103" s="141"/>
      <c r="T103" s="141" t="e">
        <f>S103-#REF!</f>
        <v>#REF!</v>
      </c>
    </row>
    <row r="104" spans="1:22" s="114" customFormat="1" ht="14.25">
      <c r="A104" s="138"/>
      <c r="B104" s="111" t="s">
        <v>119</v>
      </c>
      <c r="C104" s="112">
        <f aca="true" t="shared" si="23" ref="C104:Q105">C94+C102</f>
        <v>0</v>
      </c>
      <c r="D104" s="112">
        <f>D94+D102</f>
        <v>0</v>
      </c>
      <c r="E104" s="112">
        <f t="shared" si="23"/>
        <v>0</v>
      </c>
      <c r="F104" s="112">
        <f t="shared" si="23"/>
        <v>0</v>
      </c>
      <c r="G104" s="112">
        <f t="shared" si="23"/>
        <v>4448.5</v>
      </c>
      <c r="H104" s="112">
        <f t="shared" si="23"/>
        <v>251509.2792</v>
      </c>
      <c r="I104" s="112">
        <f t="shared" si="23"/>
        <v>205873.1292</v>
      </c>
      <c r="J104" s="112">
        <f t="shared" si="23"/>
        <v>215397.1092</v>
      </c>
      <c r="K104" s="112">
        <f t="shared" si="23"/>
        <v>203914.86920000002</v>
      </c>
      <c r="L104" s="112">
        <f t="shared" si="23"/>
        <v>218723.2192</v>
      </c>
      <c r="M104" s="112">
        <f t="shared" si="23"/>
        <v>285277.43919999996</v>
      </c>
      <c r="N104" s="112">
        <f t="shared" si="23"/>
        <v>443033.8492</v>
      </c>
      <c r="O104" s="112">
        <f t="shared" si="23"/>
        <v>358490.0092</v>
      </c>
      <c r="P104" s="112">
        <f t="shared" si="23"/>
        <v>2186667.4036</v>
      </c>
      <c r="Q104" s="112">
        <f t="shared" si="23"/>
        <v>1738917.5944</v>
      </c>
      <c r="R104" s="159">
        <f t="shared" si="11"/>
        <v>447749.8091999998</v>
      </c>
      <c r="S104" s="113"/>
      <c r="V104" s="113">
        <v>1999832.440690475</v>
      </c>
    </row>
    <row r="105" spans="2:20" s="140" customFormat="1" ht="30">
      <c r="B105" s="143" t="s">
        <v>120</v>
      </c>
      <c r="C105" s="144">
        <f t="shared" si="23"/>
        <v>0</v>
      </c>
      <c r="D105" s="144">
        <f t="shared" si="23"/>
        <v>0</v>
      </c>
      <c r="E105" s="144">
        <f t="shared" si="23"/>
        <v>0</v>
      </c>
      <c r="F105" s="144">
        <f t="shared" si="23"/>
        <v>0</v>
      </c>
      <c r="G105" s="144">
        <f t="shared" si="23"/>
        <v>-4448.5</v>
      </c>
      <c r="H105" s="144">
        <f t="shared" si="23"/>
        <v>-1227.3691999999864</v>
      </c>
      <c r="I105" s="144">
        <f t="shared" si="23"/>
        <v>19738.08080000001</v>
      </c>
      <c r="J105" s="144">
        <f t="shared" si="23"/>
        <v>-8706.169200000004</v>
      </c>
      <c r="K105" s="144">
        <f t="shared" si="23"/>
        <v>6823.580800000011</v>
      </c>
      <c r="L105" s="144">
        <f t="shared" si="23"/>
        <v>20774.18080000003</v>
      </c>
      <c r="M105" s="144">
        <f t="shared" si="23"/>
        <v>-39298.51919999995</v>
      </c>
      <c r="N105" s="144">
        <f t="shared" si="23"/>
        <v>-124712.8492</v>
      </c>
      <c r="O105" s="144">
        <f t="shared" si="23"/>
        <v>3863.5008000000234</v>
      </c>
      <c r="P105" s="144">
        <f>P103+P95</f>
        <v>-127194.06359999976</v>
      </c>
      <c r="Q105" s="144">
        <f t="shared" si="23"/>
        <v>-220542.72439999995</v>
      </c>
      <c r="R105" s="144">
        <f>C105+P105</f>
        <v>-127194.06359999976</v>
      </c>
      <c r="S105" s="141"/>
      <c r="T105" s="141" t="e">
        <f>S105-#REF!</f>
        <v>#REF!</v>
      </c>
    </row>
    <row r="106" spans="2:20" s="140" customFormat="1" ht="15">
      <c r="B106" s="145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1"/>
      <c r="T106" s="141"/>
    </row>
    <row r="108" spans="2:3" ht="12.75">
      <c r="B108" s="127" t="s">
        <v>121</v>
      </c>
      <c r="C108" s="127" t="s">
        <v>122</v>
      </c>
    </row>
    <row r="110" spans="2:3" ht="12.75">
      <c r="B110" s="127" t="s">
        <v>123</v>
      </c>
      <c r="C110" s="127" t="s">
        <v>124</v>
      </c>
    </row>
    <row r="113" spans="2:10" ht="12.75">
      <c r="B113" s="127" t="s">
        <v>108</v>
      </c>
      <c r="J113" s="126">
        <f>P98-P29-P25-S13</f>
        <v>-33610.44000000006</v>
      </c>
    </row>
    <row r="114" ht="12.75">
      <c r="J114" s="147">
        <f>J113/2895.2</f>
        <v>-11.609021829234617</v>
      </c>
    </row>
    <row r="115" spans="2:10" ht="12.75">
      <c r="B115" s="127" t="s">
        <v>125</v>
      </c>
      <c r="J115" s="126">
        <f>P99-P30-P26</f>
        <v>-3073.640000000014</v>
      </c>
    </row>
  </sheetData>
  <sheetProtection/>
  <mergeCells count="5">
    <mergeCell ref="B96:C96"/>
    <mergeCell ref="B1:R1"/>
    <mergeCell ref="B19:C19"/>
    <mergeCell ref="B41:R41"/>
    <mergeCell ref="B42:C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58">
      <selection activeCell="E69" sqref="E69:E73"/>
    </sheetView>
  </sheetViews>
  <sheetFormatPr defaultColWidth="9.140625" defaultRowHeight="15"/>
  <cols>
    <col min="1" max="1" width="5.140625" style="57" customWidth="1"/>
    <col min="2" max="2" width="34.140625" style="14" customWidth="1"/>
    <col min="3" max="3" width="7.00390625" style="14" customWidth="1"/>
    <col min="4" max="4" width="5.00390625" style="14" customWidth="1"/>
    <col min="5" max="5" width="11.421875" style="14" customWidth="1"/>
    <col min="6" max="6" width="10.57421875" style="14" customWidth="1"/>
    <col min="7" max="7" width="12.28125" style="14" customWidth="1"/>
    <col min="8" max="8" width="10.00390625" style="14" customWidth="1"/>
    <col min="9" max="16384" width="9.140625" style="14" customWidth="1"/>
  </cols>
  <sheetData>
    <row r="1" spans="1:5" s="2" customFormat="1" ht="15">
      <c r="A1" s="230" t="s">
        <v>0</v>
      </c>
      <c r="B1" s="230"/>
      <c r="C1" s="1" t="s">
        <v>158</v>
      </c>
      <c r="D1" s="1"/>
      <c r="E1" s="1"/>
    </row>
    <row r="2" spans="1:5" s="2" customFormat="1" ht="15">
      <c r="A2" s="60"/>
      <c r="B2" s="60"/>
      <c r="C2" s="1"/>
      <c r="D2" s="1"/>
      <c r="E2" s="1"/>
    </row>
    <row r="3" spans="1:7" s="2" customFormat="1" ht="15">
      <c r="A3" s="230" t="s">
        <v>8</v>
      </c>
      <c r="B3" s="230"/>
      <c r="C3" s="230"/>
      <c r="D3" s="230"/>
      <c r="E3" s="230"/>
      <c r="F3" s="3" t="s">
        <v>49</v>
      </c>
      <c r="G3" s="1"/>
    </row>
    <row r="4" s="2" customFormat="1" ht="15">
      <c r="A4" s="53"/>
    </row>
    <row r="5" spans="1:8" s="2" customFormat="1" ht="18.75">
      <c r="A5" s="231" t="s">
        <v>166</v>
      </c>
      <c r="B5" s="231"/>
      <c r="C5" s="231"/>
      <c r="D5" s="231"/>
      <c r="E5" s="231"/>
      <c r="F5" s="231"/>
      <c r="G5" s="231"/>
      <c r="H5" s="231"/>
    </row>
    <row r="6" spans="1:8" s="2" customFormat="1" ht="15">
      <c r="A6" s="214" t="s">
        <v>149</v>
      </c>
      <c r="B6" s="214"/>
      <c r="C6" s="214"/>
      <c r="D6" s="214"/>
      <c r="E6" s="214"/>
      <c r="F6" s="214"/>
      <c r="G6" s="214"/>
      <c r="H6" s="214"/>
    </row>
    <row r="7" spans="1:6" s="2" customFormat="1" ht="15">
      <c r="A7" s="53"/>
      <c r="B7" s="4" t="s">
        <v>2</v>
      </c>
      <c r="C7" s="4"/>
      <c r="D7" s="5" t="s">
        <v>167</v>
      </c>
      <c r="E7" s="4"/>
      <c r="F7" s="4"/>
    </row>
    <row r="8" s="2" customFormat="1" ht="7.5" customHeight="1">
      <c r="A8" s="53"/>
    </row>
    <row r="9" spans="1:9" s="2" customFormat="1" ht="15">
      <c r="A9" s="148" t="s">
        <v>23</v>
      </c>
      <c r="B9" s="148"/>
      <c r="C9" s="148"/>
      <c r="D9" s="148"/>
      <c r="E9" s="148"/>
      <c r="F9" s="148"/>
      <c r="G9" s="148"/>
      <c r="H9" s="7" t="s">
        <v>50</v>
      </c>
      <c r="I9" s="7"/>
    </row>
    <row r="10" spans="1:12" s="2" customFormat="1" ht="37.5" customHeight="1">
      <c r="A10" s="17" t="s">
        <v>3</v>
      </c>
      <c r="B10" s="15" t="s">
        <v>40</v>
      </c>
      <c r="C10" s="15" t="s">
        <v>5</v>
      </c>
      <c r="D10" s="15" t="s">
        <v>6</v>
      </c>
      <c r="E10" s="16" t="s">
        <v>17</v>
      </c>
      <c r="F10" s="16" t="s">
        <v>39</v>
      </c>
      <c r="G10" s="15" t="s">
        <v>18</v>
      </c>
      <c r="H10" s="15" t="s">
        <v>7</v>
      </c>
      <c r="L10" s="6"/>
    </row>
    <row r="11" spans="1:8" s="2" customFormat="1" ht="28.5" customHeight="1">
      <c r="A11" s="17" t="s">
        <v>24</v>
      </c>
      <c r="B11" s="18" t="s">
        <v>13</v>
      </c>
      <c r="C11" s="15" t="s">
        <v>16</v>
      </c>
      <c r="D11" s="19">
        <v>1</v>
      </c>
      <c r="E11" s="23"/>
      <c r="F11" s="23"/>
      <c r="G11" s="23">
        <f aca="true" t="shared" si="0" ref="G11:G23">E11+F11</f>
        <v>0</v>
      </c>
      <c r="H11" s="19"/>
    </row>
    <row r="12" spans="1:8" s="2" customFormat="1" ht="28.5" customHeight="1">
      <c r="A12" s="17" t="s">
        <v>25</v>
      </c>
      <c r="B12" s="18" t="s">
        <v>14</v>
      </c>
      <c r="C12" s="15" t="s">
        <v>16</v>
      </c>
      <c r="D12" s="19">
        <v>1</v>
      </c>
      <c r="E12" s="23"/>
      <c r="F12" s="23"/>
      <c r="G12" s="23">
        <f t="shared" si="0"/>
        <v>0</v>
      </c>
      <c r="H12" s="19"/>
    </row>
    <row r="13" spans="1:8" s="2" customFormat="1" ht="28.5" customHeight="1">
      <c r="A13" s="17" t="s">
        <v>26</v>
      </c>
      <c r="B13" s="18" t="s">
        <v>22</v>
      </c>
      <c r="C13" s="15" t="s">
        <v>16</v>
      </c>
      <c r="D13" s="19">
        <v>1</v>
      </c>
      <c r="E13" s="23"/>
      <c r="F13" s="23"/>
      <c r="G13" s="23">
        <f t="shared" si="0"/>
        <v>0</v>
      </c>
      <c r="H13" s="19"/>
    </row>
    <row r="14" spans="1:8" s="2" customFormat="1" ht="15">
      <c r="A14" s="17" t="s">
        <v>27</v>
      </c>
      <c r="B14" s="155" t="s">
        <v>129</v>
      </c>
      <c r="C14" s="158"/>
      <c r="D14" s="158"/>
      <c r="E14" s="158"/>
      <c r="F14" s="158"/>
      <c r="G14" s="23">
        <f t="shared" si="0"/>
        <v>0</v>
      </c>
      <c r="H14" s="19"/>
    </row>
    <row r="15" spans="1:8" s="2" customFormat="1" ht="15">
      <c r="A15" s="17" t="s">
        <v>28</v>
      </c>
      <c r="B15" s="18" t="s">
        <v>21</v>
      </c>
      <c r="C15" s="15" t="s">
        <v>16</v>
      </c>
      <c r="D15" s="19">
        <v>1</v>
      </c>
      <c r="E15" s="24"/>
      <c r="F15" s="23"/>
      <c r="G15" s="23">
        <f t="shared" si="0"/>
        <v>0</v>
      </c>
      <c r="H15" s="19"/>
    </row>
    <row r="16" spans="1:11" s="2" customFormat="1" ht="15">
      <c r="A16" s="17" t="s">
        <v>29</v>
      </c>
      <c r="B16" s="18" t="s">
        <v>19</v>
      </c>
      <c r="C16" s="15" t="s">
        <v>16</v>
      </c>
      <c r="D16" s="19">
        <v>1</v>
      </c>
      <c r="E16" s="20"/>
      <c r="F16" s="23"/>
      <c r="G16" s="23">
        <f t="shared" si="0"/>
        <v>0</v>
      </c>
      <c r="H16" s="19"/>
      <c r="K16" s="2" t="s">
        <v>97</v>
      </c>
    </row>
    <row r="17" spans="1:8" s="2" customFormat="1" ht="15">
      <c r="A17" s="17" t="s">
        <v>30</v>
      </c>
      <c r="B17" s="18" t="s">
        <v>20</v>
      </c>
      <c r="C17" s="15" t="s">
        <v>16</v>
      </c>
      <c r="D17" s="19">
        <v>1</v>
      </c>
      <c r="E17" s="23"/>
      <c r="F17" s="23"/>
      <c r="G17" s="23">
        <f t="shared" si="0"/>
        <v>0</v>
      </c>
      <c r="H17" s="19"/>
    </row>
    <row r="18" spans="1:8" s="2" customFormat="1" ht="15">
      <c r="A18" s="17" t="s">
        <v>31</v>
      </c>
      <c r="B18" s="18" t="s">
        <v>51</v>
      </c>
      <c r="C18" s="15" t="s">
        <v>16</v>
      </c>
      <c r="D18" s="19">
        <v>1</v>
      </c>
      <c r="E18" s="23"/>
      <c r="F18" s="23"/>
      <c r="G18" s="23">
        <f t="shared" si="0"/>
        <v>0</v>
      </c>
      <c r="H18" s="19"/>
    </row>
    <row r="19" spans="1:8" s="2" customFormat="1" ht="15">
      <c r="A19" s="17" t="s">
        <v>134</v>
      </c>
      <c r="B19" s="18" t="s">
        <v>52</v>
      </c>
      <c r="C19" s="15" t="s">
        <v>16</v>
      </c>
      <c r="D19" s="19">
        <v>1</v>
      </c>
      <c r="E19" s="23"/>
      <c r="F19" s="23"/>
      <c r="G19" s="23">
        <f t="shared" si="0"/>
        <v>0</v>
      </c>
      <c r="H19" s="19"/>
    </row>
    <row r="20" spans="1:8" s="2" customFormat="1" ht="15">
      <c r="A20" s="17" t="s">
        <v>135</v>
      </c>
      <c r="B20" s="33" t="s">
        <v>105</v>
      </c>
      <c r="C20" s="15" t="s">
        <v>16</v>
      </c>
      <c r="D20" s="19">
        <v>1</v>
      </c>
      <c r="E20" s="23"/>
      <c r="F20" s="23"/>
      <c r="G20" s="23">
        <f t="shared" si="0"/>
        <v>0</v>
      </c>
      <c r="H20" s="19"/>
    </row>
    <row r="21" spans="1:8" s="2" customFormat="1" ht="15">
      <c r="A21" s="17" t="s">
        <v>189</v>
      </c>
      <c r="B21" s="33" t="s">
        <v>106</v>
      </c>
      <c r="C21" s="15" t="s">
        <v>16</v>
      </c>
      <c r="D21" s="19">
        <v>1</v>
      </c>
      <c r="E21" s="23"/>
      <c r="F21" s="23"/>
      <c r="G21" s="23">
        <f t="shared" si="0"/>
        <v>0</v>
      </c>
      <c r="H21" s="19"/>
    </row>
    <row r="22" spans="1:8" s="2" customFormat="1" ht="15">
      <c r="A22" s="17" t="s">
        <v>190</v>
      </c>
      <c r="B22" s="33" t="s">
        <v>109</v>
      </c>
      <c r="C22" s="15" t="s">
        <v>16</v>
      </c>
      <c r="D22" s="19">
        <v>1</v>
      </c>
      <c r="E22" s="23"/>
      <c r="F22" s="23"/>
      <c r="G22" s="23">
        <f t="shared" si="0"/>
        <v>0</v>
      </c>
      <c r="H22" s="19"/>
    </row>
    <row r="23" spans="1:8" s="2" customFormat="1" ht="15">
      <c r="A23" s="17" t="s">
        <v>191</v>
      </c>
      <c r="B23" s="33" t="s">
        <v>107</v>
      </c>
      <c r="C23" s="15" t="s">
        <v>16</v>
      </c>
      <c r="D23" s="19">
        <v>1</v>
      </c>
      <c r="E23" s="23"/>
      <c r="F23" s="23"/>
      <c r="G23" s="23">
        <f t="shared" si="0"/>
        <v>0</v>
      </c>
      <c r="H23" s="19"/>
    </row>
    <row r="24" spans="1:8" s="2" customFormat="1" ht="15">
      <c r="A24" s="17" t="s">
        <v>192</v>
      </c>
      <c r="B24" s="18" t="s">
        <v>48</v>
      </c>
      <c r="C24" s="15"/>
      <c r="D24" s="19"/>
      <c r="E24" s="23">
        <f>E25+E26</f>
        <v>0</v>
      </c>
      <c r="F24" s="23">
        <f>F25+F26</f>
        <v>0</v>
      </c>
      <c r="G24" s="23">
        <f>G25+G26</f>
        <v>0</v>
      </c>
      <c r="H24" s="19"/>
    </row>
    <row r="25" spans="1:8" s="4" customFormat="1" ht="15">
      <c r="A25" s="55"/>
      <c r="B25" s="34"/>
      <c r="C25" s="160"/>
      <c r="D25" s="35"/>
      <c r="E25" s="36"/>
      <c r="F25" s="36"/>
      <c r="G25" s="36">
        <f>E25+F25</f>
        <v>0</v>
      </c>
      <c r="H25" s="35"/>
    </row>
    <row r="26" spans="1:8" s="4" customFormat="1" ht="15">
      <c r="A26" s="55"/>
      <c r="B26" s="34"/>
      <c r="C26" s="160"/>
      <c r="D26" s="35"/>
      <c r="E26" s="161"/>
      <c r="F26" s="36"/>
      <c r="G26" s="36">
        <f>E26+F26</f>
        <v>0</v>
      </c>
      <c r="H26" s="35"/>
    </row>
    <row r="27" spans="1:8" s="2" customFormat="1" ht="17.25" customHeight="1">
      <c r="A27" s="61" t="s">
        <v>33</v>
      </c>
      <c r="B27" s="62"/>
      <c r="C27" s="170"/>
      <c r="D27" s="135"/>
      <c r="E27" s="171">
        <f>E11+E12+E13+E14+E15+E16+E17+E18+E19+E24+E20+E21+E22+E23</f>
        <v>0</v>
      </c>
      <c r="F27" s="171">
        <f>F11+F12+F13+F14+F15+F16+F17+F18+F19+F24+F20+F21+F22+F23</f>
        <v>0</v>
      </c>
      <c r="G27" s="171">
        <f>G11+G12+G13+G14+G15+G16+G17+G18+G19+G24+G20+G21+G22+G23</f>
        <v>0</v>
      </c>
      <c r="H27" s="41"/>
    </row>
    <row r="28" s="2" customFormat="1" ht="8.25" customHeight="1">
      <c r="A28" s="53"/>
    </row>
    <row r="29" spans="1:8" s="2" customFormat="1" ht="15">
      <c r="A29" s="148" t="s">
        <v>32</v>
      </c>
      <c r="B29" s="148"/>
      <c r="C29" s="148"/>
      <c r="D29" s="148"/>
      <c r="E29" s="148"/>
      <c r="F29" s="148"/>
      <c r="G29" s="148"/>
      <c r="H29" s="148"/>
    </row>
    <row r="30" spans="1:8" s="2" customFormat="1" ht="36.75" customHeight="1">
      <c r="A30" s="17" t="s">
        <v>3</v>
      </c>
      <c r="B30" s="15" t="s">
        <v>40</v>
      </c>
      <c r="C30" s="15" t="s">
        <v>5</v>
      </c>
      <c r="D30" s="15" t="s">
        <v>6</v>
      </c>
      <c r="E30" s="16" t="s">
        <v>17</v>
      </c>
      <c r="F30" s="16" t="s">
        <v>39</v>
      </c>
      <c r="G30" s="15" t="s">
        <v>18</v>
      </c>
      <c r="H30" s="15" t="s">
        <v>7</v>
      </c>
    </row>
    <row r="31" spans="1:8" s="2" customFormat="1" ht="25.5" customHeight="1">
      <c r="A31" s="17" t="s">
        <v>34</v>
      </c>
      <c r="B31" s="18" t="s">
        <v>150</v>
      </c>
      <c r="C31" s="15" t="s">
        <v>16</v>
      </c>
      <c r="D31" s="19">
        <v>1</v>
      </c>
      <c r="E31" s="23"/>
      <c r="F31" s="23"/>
      <c r="G31" s="23">
        <f aca="true" t="shared" si="1" ref="G31:G37">E31+F31</f>
        <v>0</v>
      </c>
      <c r="H31" s="19"/>
    </row>
    <row r="32" spans="1:8" s="2" customFormat="1" ht="26.25" customHeight="1">
      <c r="A32" s="17" t="s">
        <v>35</v>
      </c>
      <c r="B32" s="18" t="s">
        <v>151</v>
      </c>
      <c r="C32" s="15" t="s">
        <v>16</v>
      </c>
      <c r="D32" s="19">
        <v>1</v>
      </c>
      <c r="E32" s="23"/>
      <c r="F32" s="23"/>
      <c r="G32" s="23">
        <f t="shared" si="1"/>
        <v>0</v>
      </c>
      <c r="H32" s="19"/>
    </row>
    <row r="33" spans="1:8" s="2" customFormat="1" ht="15">
      <c r="A33" s="17" t="s">
        <v>36</v>
      </c>
      <c r="B33" s="155" t="s">
        <v>129</v>
      </c>
      <c r="C33" s="15"/>
      <c r="D33" s="19"/>
      <c r="E33" s="23"/>
      <c r="F33" s="23"/>
      <c r="G33" s="23">
        <f t="shared" si="1"/>
        <v>0</v>
      </c>
      <c r="H33" s="19"/>
    </row>
    <row r="34" spans="1:8" s="2" customFormat="1" ht="15">
      <c r="A34" s="17" t="s">
        <v>37</v>
      </c>
      <c r="B34" s="18" t="s">
        <v>53</v>
      </c>
      <c r="C34" s="15" t="s">
        <v>16</v>
      </c>
      <c r="D34" s="19">
        <v>1</v>
      </c>
      <c r="E34" s="23"/>
      <c r="F34" s="23"/>
      <c r="G34" s="23">
        <f t="shared" si="1"/>
        <v>0</v>
      </c>
      <c r="H34" s="19"/>
    </row>
    <row r="35" spans="1:8" s="2" customFormat="1" ht="15">
      <c r="A35" s="17" t="s">
        <v>137</v>
      </c>
      <c r="B35" s="18" t="s">
        <v>48</v>
      </c>
      <c r="C35" s="15" t="s">
        <v>9</v>
      </c>
      <c r="D35" s="19">
        <v>1</v>
      </c>
      <c r="E35" s="23">
        <f>E36+E37</f>
        <v>0</v>
      </c>
      <c r="F35" s="23">
        <f>F36+F37</f>
        <v>0</v>
      </c>
      <c r="G35" s="23">
        <f t="shared" si="1"/>
        <v>0</v>
      </c>
      <c r="H35" s="19"/>
    </row>
    <row r="36" spans="1:8" s="4" customFormat="1" ht="15">
      <c r="A36" s="55"/>
      <c r="B36" s="34"/>
      <c r="C36" s="160"/>
      <c r="D36" s="35"/>
      <c r="E36" s="36"/>
      <c r="F36" s="36"/>
      <c r="G36" s="36">
        <f t="shared" si="1"/>
        <v>0</v>
      </c>
      <c r="H36" s="35"/>
    </row>
    <row r="37" spans="1:9" s="4" customFormat="1" ht="15">
      <c r="A37" s="55"/>
      <c r="B37" s="34"/>
      <c r="C37" s="160"/>
      <c r="D37" s="35"/>
      <c r="E37" s="36"/>
      <c r="F37" s="36"/>
      <c r="G37" s="36">
        <f t="shared" si="1"/>
        <v>0</v>
      </c>
      <c r="H37" s="35"/>
      <c r="I37" s="4" t="s">
        <v>97</v>
      </c>
    </row>
    <row r="38" spans="1:8" s="2" customFormat="1" ht="15">
      <c r="A38" s="227" t="s">
        <v>10</v>
      </c>
      <c r="B38" s="228"/>
      <c r="C38" s="229"/>
      <c r="D38" s="41"/>
      <c r="E38" s="171">
        <f>E31+E32+E33+E34+E35</f>
        <v>0</v>
      </c>
      <c r="F38" s="171">
        <f>F31+F32+F33+F34+F35</f>
        <v>0</v>
      </c>
      <c r="G38" s="171">
        <f>G31+G32+G33+G34+G35</f>
        <v>0</v>
      </c>
      <c r="H38" s="41"/>
    </row>
    <row r="39" s="2" customFormat="1" ht="9.75" customHeight="1">
      <c r="A39" s="53"/>
    </row>
    <row r="40" spans="1:8" s="2" customFormat="1" ht="15">
      <c r="A40" s="219" t="s">
        <v>38</v>
      </c>
      <c r="B40" s="219"/>
      <c r="C40" s="219"/>
      <c r="D40" s="219"/>
      <c r="E40" s="219"/>
      <c r="F40" s="219"/>
      <c r="G40" s="219"/>
      <c r="H40" s="219"/>
    </row>
    <row r="41" spans="1:8" s="2" customFormat="1" ht="36" customHeight="1">
      <c r="A41" s="17" t="s">
        <v>3</v>
      </c>
      <c r="B41" s="15" t="s">
        <v>40</v>
      </c>
      <c r="C41" s="15" t="s">
        <v>5</v>
      </c>
      <c r="D41" s="15" t="s">
        <v>6</v>
      </c>
      <c r="E41" s="16" t="s">
        <v>17</v>
      </c>
      <c r="F41" s="16" t="s">
        <v>39</v>
      </c>
      <c r="G41" s="15" t="s">
        <v>18</v>
      </c>
      <c r="H41" s="15" t="s">
        <v>7</v>
      </c>
    </row>
    <row r="42" spans="1:8" s="2" customFormat="1" ht="26.25" customHeight="1">
      <c r="A42" s="17" t="s">
        <v>42</v>
      </c>
      <c r="B42" s="18" t="s">
        <v>153</v>
      </c>
      <c r="C42" s="15" t="s">
        <v>16</v>
      </c>
      <c r="D42" s="15">
        <v>1</v>
      </c>
      <c r="E42" s="25"/>
      <c r="F42" s="25"/>
      <c r="G42" s="26">
        <f>E42+F42</f>
        <v>0</v>
      </c>
      <c r="H42" s="19"/>
    </row>
    <row r="43" spans="1:8" s="2" customFormat="1" ht="15">
      <c r="A43" s="17"/>
      <c r="B43" s="155" t="s">
        <v>129</v>
      </c>
      <c r="C43" s="15"/>
      <c r="D43" s="15"/>
      <c r="E43" s="25"/>
      <c r="F43" s="25"/>
      <c r="G43" s="26">
        <f>E43+F43</f>
        <v>0</v>
      </c>
      <c r="H43" s="19"/>
    </row>
    <row r="44" spans="1:8" s="2" customFormat="1" ht="15">
      <c r="A44" s="17" t="s">
        <v>43</v>
      </c>
      <c r="B44" s="18" t="s">
        <v>48</v>
      </c>
      <c r="C44" s="15"/>
      <c r="D44" s="15"/>
      <c r="E44" s="25"/>
      <c r="F44" s="25"/>
      <c r="G44" s="26">
        <f>E44+F44</f>
        <v>0</v>
      </c>
      <c r="H44" s="19"/>
    </row>
    <row r="45" spans="1:11" s="2" customFormat="1" ht="15">
      <c r="A45" s="17"/>
      <c r="B45" s="34"/>
      <c r="C45" s="160" t="s">
        <v>9</v>
      </c>
      <c r="D45" s="35"/>
      <c r="E45" s="161"/>
      <c r="F45" s="26"/>
      <c r="G45" s="37">
        <f>E45+F45</f>
        <v>0</v>
      </c>
      <c r="H45" s="19"/>
      <c r="K45" s="12">
        <f>F27+F38+F47</f>
        <v>0</v>
      </c>
    </row>
    <row r="46" spans="1:8" s="2" customFormat="1" ht="15">
      <c r="A46" s="17"/>
      <c r="B46" s="18"/>
      <c r="C46" s="19"/>
      <c r="D46" s="19"/>
      <c r="E46" s="23"/>
      <c r="F46" s="26"/>
      <c r="G46" s="37">
        <f>E46+F46</f>
        <v>0</v>
      </c>
      <c r="H46" s="19"/>
    </row>
    <row r="47" spans="1:8" s="2" customFormat="1" ht="15">
      <c r="A47" s="211" t="s">
        <v>41</v>
      </c>
      <c r="B47" s="212"/>
      <c r="C47" s="213"/>
      <c r="D47" s="41"/>
      <c r="E47" s="42">
        <f>SUM(E42:E46)</f>
        <v>0</v>
      </c>
      <c r="F47" s="44">
        <f>SUM(F42:F44)</f>
        <v>0</v>
      </c>
      <c r="G47" s="42">
        <f>SUM(G42:G46)</f>
        <v>0</v>
      </c>
      <c r="H47" s="41"/>
    </row>
    <row r="48" spans="1:8" s="2" customFormat="1" ht="7.5" customHeight="1">
      <c r="A48" s="54"/>
      <c r="B48" s="8"/>
      <c r="C48" s="8"/>
      <c r="D48" s="9"/>
      <c r="E48" s="9"/>
      <c r="F48" s="10"/>
      <c r="G48" s="9"/>
      <c r="H48" s="11"/>
    </row>
    <row r="49" spans="1:8" s="7" customFormat="1" ht="15" customHeight="1">
      <c r="A49" s="219" t="s">
        <v>154</v>
      </c>
      <c r="B49" s="219"/>
      <c r="C49" s="219"/>
      <c r="D49" s="219"/>
      <c r="E49" s="219"/>
      <c r="F49" s="219"/>
      <c r="G49" s="219"/>
      <c r="H49" s="58"/>
    </row>
    <row r="50" spans="1:7" s="2" customFormat="1" ht="24.75">
      <c r="A50" s="17" t="s">
        <v>3</v>
      </c>
      <c r="B50" s="15" t="s">
        <v>4</v>
      </c>
      <c r="C50" s="15" t="s">
        <v>5</v>
      </c>
      <c r="D50" s="15" t="s">
        <v>6</v>
      </c>
      <c r="E50" s="16" t="s">
        <v>45</v>
      </c>
      <c r="F50" s="220" t="s">
        <v>46</v>
      </c>
      <c r="G50" s="221"/>
    </row>
    <row r="51" spans="1:7" s="2" customFormat="1" ht="25.5" customHeight="1">
      <c r="A51" s="17" t="s">
        <v>67</v>
      </c>
      <c r="B51" s="27" t="s">
        <v>152</v>
      </c>
      <c r="C51" s="29" t="s">
        <v>16</v>
      </c>
      <c r="D51" s="28">
        <v>1</v>
      </c>
      <c r="E51" s="30"/>
      <c r="F51" s="30"/>
      <c r="G51" s="30"/>
    </row>
    <row r="52" spans="1:7" s="2" customFormat="1" ht="15">
      <c r="A52" s="17" t="s">
        <v>68</v>
      </c>
      <c r="B52" s="28" t="s">
        <v>54</v>
      </c>
      <c r="C52" s="29" t="s">
        <v>16</v>
      </c>
      <c r="D52" s="28">
        <v>1</v>
      </c>
      <c r="E52" s="30"/>
      <c r="F52" s="30"/>
      <c r="G52" s="30"/>
    </row>
    <row r="53" spans="1:7" s="2" customFormat="1" ht="15">
      <c r="A53" s="17" t="s">
        <v>69</v>
      </c>
      <c r="B53" s="28" t="s">
        <v>55</v>
      </c>
      <c r="C53" s="29" t="s">
        <v>16</v>
      </c>
      <c r="D53" s="28">
        <v>1</v>
      </c>
      <c r="E53" s="30"/>
      <c r="F53" s="30"/>
      <c r="G53" s="30"/>
    </row>
    <row r="54" spans="1:7" s="2" customFormat="1" ht="15">
      <c r="A54" s="17" t="s">
        <v>70</v>
      </c>
      <c r="B54" s="28" t="s">
        <v>56</v>
      </c>
      <c r="C54" s="29" t="s">
        <v>16</v>
      </c>
      <c r="D54" s="28">
        <v>1</v>
      </c>
      <c r="E54" s="30"/>
      <c r="F54" s="30"/>
      <c r="G54" s="30"/>
    </row>
    <row r="55" spans="1:7" s="2" customFormat="1" ht="15">
      <c r="A55" s="17" t="s">
        <v>72</v>
      </c>
      <c r="B55" s="18" t="s">
        <v>75</v>
      </c>
      <c r="C55" s="29" t="s">
        <v>16</v>
      </c>
      <c r="D55" s="28">
        <v>1</v>
      </c>
      <c r="E55" s="30">
        <f>E56+E57+E58+E59+E60+E61+E62+E63+E64</f>
        <v>0</v>
      </c>
      <c r="F55" s="30"/>
      <c r="G55" s="30"/>
    </row>
    <row r="56" spans="1:7" s="4" customFormat="1" ht="15">
      <c r="A56" s="55"/>
      <c r="B56" s="34" t="s">
        <v>64</v>
      </c>
      <c r="C56" s="29" t="s">
        <v>16</v>
      </c>
      <c r="D56" s="28">
        <v>1</v>
      </c>
      <c r="E56" s="36"/>
      <c r="F56" s="37"/>
      <c r="G56" s="36"/>
    </row>
    <row r="57" spans="1:11" s="4" customFormat="1" ht="15">
      <c r="A57" s="55"/>
      <c r="B57" s="34" t="s">
        <v>65</v>
      </c>
      <c r="C57" s="29" t="s">
        <v>16</v>
      </c>
      <c r="D57" s="28">
        <v>1</v>
      </c>
      <c r="E57" s="36"/>
      <c r="F57" s="37"/>
      <c r="G57" s="36"/>
      <c r="J57" s="38"/>
      <c r="K57" s="39"/>
    </row>
    <row r="58" spans="1:7" s="4" customFormat="1" ht="24.75">
      <c r="A58" s="55"/>
      <c r="B58" s="34" t="s">
        <v>66</v>
      </c>
      <c r="C58" s="29" t="s">
        <v>16</v>
      </c>
      <c r="D58" s="28">
        <v>1</v>
      </c>
      <c r="E58" s="36"/>
      <c r="F58" s="37"/>
      <c r="G58" s="36"/>
    </row>
    <row r="59" spans="1:7" s="4" customFormat="1" ht="15">
      <c r="A59" s="55"/>
      <c r="B59" s="34" t="s">
        <v>71</v>
      </c>
      <c r="C59" s="29" t="s">
        <v>16</v>
      </c>
      <c r="D59" s="28">
        <v>1</v>
      </c>
      <c r="E59" s="35"/>
      <c r="F59" s="40"/>
      <c r="G59" s="35"/>
    </row>
    <row r="60" spans="1:7" s="4" customFormat="1" ht="15">
      <c r="A60" s="55"/>
      <c r="B60" s="34" t="s">
        <v>76</v>
      </c>
      <c r="C60" s="29" t="s">
        <v>16</v>
      </c>
      <c r="D60" s="28">
        <v>1</v>
      </c>
      <c r="E60" s="35"/>
      <c r="F60" s="40"/>
      <c r="G60" s="35"/>
    </row>
    <row r="61" spans="1:7" s="4" customFormat="1" ht="15">
      <c r="A61" s="55"/>
      <c r="B61" s="34" t="s">
        <v>74</v>
      </c>
      <c r="C61" s="29" t="s">
        <v>16</v>
      </c>
      <c r="D61" s="28">
        <v>1</v>
      </c>
      <c r="E61" s="35"/>
      <c r="F61" s="40"/>
      <c r="G61" s="35"/>
    </row>
    <row r="62" spans="1:7" s="4" customFormat="1" ht="15">
      <c r="A62" s="55"/>
      <c r="B62" s="34" t="s">
        <v>77</v>
      </c>
      <c r="C62" s="29" t="s">
        <v>16</v>
      </c>
      <c r="D62" s="28">
        <v>1</v>
      </c>
      <c r="E62" s="35"/>
      <c r="F62" s="40"/>
      <c r="G62" s="35"/>
    </row>
    <row r="63" spans="1:7" s="4" customFormat="1" ht="15">
      <c r="A63" s="55"/>
      <c r="B63" s="34" t="s">
        <v>78</v>
      </c>
      <c r="C63" s="29" t="s">
        <v>16</v>
      </c>
      <c r="D63" s="28">
        <v>1</v>
      </c>
      <c r="E63" s="35"/>
      <c r="F63" s="40"/>
      <c r="G63" s="35"/>
    </row>
    <row r="64" spans="1:9" s="4" customFormat="1" ht="15">
      <c r="A64" s="55"/>
      <c r="B64" s="34"/>
      <c r="C64" s="35"/>
      <c r="D64" s="35"/>
      <c r="E64" s="35"/>
      <c r="F64" s="40"/>
      <c r="G64" s="35"/>
      <c r="I64" s="39"/>
    </row>
    <row r="65" spans="1:7" s="2" customFormat="1" ht="15">
      <c r="A65" s="180" t="s">
        <v>155</v>
      </c>
      <c r="B65" s="181"/>
      <c r="C65" s="182"/>
      <c r="D65" s="41"/>
      <c r="E65" s="42">
        <f>E51+E52+E53+E54+E55</f>
        <v>0</v>
      </c>
      <c r="F65" s="43"/>
      <c r="G65" s="41"/>
    </row>
    <row r="66" spans="1:7" s="52" customFormat="1" ht="25.5">
      <c r="A66" s="56" t="s">
        <v>156</v>
      </c>
      <c r="B66" s="47" t="s">
        <v>57</v>
      </c>
      <c r="C66" s="48" t="s">
        <v>16</v>
      </c>
      <c r="D66" s="49">
        <v>1</v>
      </c>
      <c r="E66" s="51"/>
      <c r="F66" s="50"/>
      <c r="G66" s="51"/>
    </row>
    <row r="67" spans="1:7" s="46" customFormat="1" ht="15" customHeight="1">
      <c r="A67" s="222" t="s">
        <v>157</v>
      </c>
      <c r="B67" s="223"/>
      <c r="C67" s="223"/>
      <c r="D67" s="223"/>
      <c r="E67" s="223"/>
      <c r="F67" s="223"/>
      <c r="G67" s="224"/>
    </row>
    <row r="68" spans="1:7" s="2" customFormat="1" ht="33.75" customHeight="1">
      <c r="A68" s="17" t="s">
        <v>3</v>
      </c>
      <c r="B68" s="15" t="s">
        <v>4</v>
      </c>
      <c r="C68" s="15" t="s">
        <v>5</v>
      </c>
      <c r="D68" s="15" t="s">
        <v>6</v>
      </c>
      <c r="E68" s="16" t="s">
        <v>45</v>
      </c>
      <c r="F68" s="220" t="s">
        <v>46</v>
      </c>
      <c r="G68" s="221"/>
    </row>
    <row r="69" spans="1:7" s="2" customFormat="1" ht="25.5" customHeight="1">
      <c r="A69" s="17"/>
      <c r="B69" s="33" t="s">
        <v>58</v>
      </c>
      <c r="C69" s="29" t="s">
        <v>16</v>
      </c>
      <c r="D69" s="28">
        <v>1</v>
      </c>
      <c r="E69" s="30"/>
      <c r="F69" s="30"/>
      <c r="G69" s="30"/>
    </row>
    <row r="70" spans="1:7" s="2" customFormat="1" ht="15">
      <c r="A70" s="17"/>
      <c r="B70" s="33" t="s">
        <v>59</v>
      </c>
      <c r="C70" s="29" t="s">
        <v>16</v>
      </c>
      <c r="D70" s="28">
        <v>1</v>
      </c>
      <c r="E70" s="30"/>
      <c r="F70" s="30"/>
      <c r="G70" s="30"/>
    </row>
    <row r="71" spans="1:7" s="2" customFormat="1" ht="15">
      <c r="A71" s="17"/>
      <c r="B71" s="33" t="s">
        <v>60</v>
      </c>
      <c r="C71" s="29" t="s">
        <v>16</v>
      </c>
      <c r="D71" s="28">
        <v>1</v>
      </c>
      <c r="E71" s="30"/>
      <c r="F71" s="30"/>
      <c r="G71" s="30"/>
    </row>
    <row r="72" spans="1:7" s="2" customFormat="1" ht="15">
      <c r="A72" s="17"/>
      <c r="B72" s="33" t="s">
        <v>61</v>
      </c>
      <c r="C72" s="29" t="s">
        <v>16</v>
      </c>
      <c r="D72" s="28">
        <v>1</v>
      </c>
      <c r="E72" s="30"/>
      <c r="F72" s="30"/>
      <c r="G72" s="30"/>
    </row>
    <row r="73" spans="1:9" s="2" customFormat="1" ht="15">
      <c r="A73" s="17"/>
      <c r="B73" s="33" t="s">
        <v>62</v>
      </c>
      <c r="C73" s="29" t="s">
        <v>16</v>
      </c>
      <c r="D73" s="19">
        <v>1</v>
      </c>
      <c r="E73" s="30"/>
      <c r="F73" s="26"/>
      <c r="G73" s="23"/>
      <c r="I73" s="13">
        <f>E72+E73</f>
        <v>0</v>
      </c>
    </row>
    <row r="74" spans="1:7" s="2" customFormat="1" ht="15">
      <c r="A74" s="17"/>
      <c r="B74" s="18"/>
      <c r="C74" s="29"/>
      <c r="D74" s="28"/>
      <c r="E74" s="30"/>
      <c r="F74" s="30"/>
      <c r="G74" s="30"/>
    </row>
    <row r="75" spans="1:7" s="2" customFormat="1" ht="15">
      <c r="A75" s="215" t="s">
        <v>63</v>
      </c>
      <c r="B75" s="216"/>
      <c r="C75" s="217"/>
      <c r="D75" s="19"/>
      <c r="E75" s="30">
        <f>SUM(E69:E74)</f>
        <v>0</v>
      </c>
      <c r="F75" s="21"/>
      <c r="G75" s="19"/>
    </row>
    <row r="76" spans="1:7" s="2" customFormat="1" ht="15">
      <c r="A76" s="54"/>
      <c r="B76" s="8"/>
      <c r="C76" s="8"/>
      <c r="D76" s="31"/>
      <c r="E76" s="45"/>
      <c r="F76" s="32"/>
      <c r="G76" s="31"/>
    </row>
    <row r="77" spans="1:7" s="2" customFormat="1" ht="15">
      <c r="A77" s="54"/>
      <c r="B77" s="8"/>
      <c r="C77" s="8"/>
      <c r="D77" s="31"/>
      <c r="E77" s="45"/>
      <c r="F77" s="32"/>
      <c r="G77" s="31"/>
    </row>
    <row r="78" spans="1:7" s="2" customFormat="1" ht="15">
      <c r="A78" s="54"/>
      <c r="B78" s="8"/>
      <c r="C78" s="8"/>
      <c r="D78" s="31"/>
      <c r="E78" s="45"/>
      <c r="F78" s="32"/>
      <c r="G78" s="31"/>
    </row>
    <row r="79" spans="1:7" s="2" customFormat="1" ht="15">
      <c r="A79" s="54"/>
      <c r="B79" s="8"/>
      <c r="C79" s="8"/>
      <c r="D79" s="31"/>
      <c r="E79" s="45"/>
      <c r="F79" s="32"/>
      <c r="G79" s="31"/>
    </row>
    <row r="80" s="2" customFormat="1" ht="15">
      <c r="A80" s="53"/>
    </row>
    <row r="81" spans="1:7" s="2" customFormat="1" ht="15">
      <c r="A81" s="218" t="s">
        <v>11</v>
      </c>
      <c r="B81" s="218"/>
      <c r="C81" s="218"/>
      <c r="D81" s="218"/>
      <c r="E81" s="225">
        <f>G27+G38+G47+E65+E66+E75</f>
        <v>0</v>
      </c>
      <c r="F81" s="225"/>
      <c r="G81" s="225"/>
    </row>
    <row r="82" spans="1:7" s="2" customFormat="1" ht="15">
      <c r="A82" s="53"/>
      <c r="G82" s="13"/>
    </row>
    <row r="83" s="2" customFormat="1" ht="15">
      <c r="A83" s="53"/>
    </row>
    <row r="84" s="2" customFormat="1" ht="15">
      <c r="A84" s="53"/>
    </row>
    <row r="85" s="2" customFormat="1" ht="15">
      <c r="A85" s="53"/>
    </row>
    <row r="86" spans="1:5" s="2" customFormat="1" ht="15">
      <c r="A86" s="226" t="s">
        <v>47</v>
      </c>
      <c r="B86" s="226"/>
      <c r="E86" s="2" t="s">
        <v>12</v>
      </c>
    </row>
    <row r="87" spans="1:5" s="2" customFormat="1" ht="15">
      <c r="A87" s="226" t="s">
        <v>1</v>
      </c>
      <c r="B87" s="226"/>
      <c r="E87" s="2" t="s">
        <v>158</v>
      </c>
    </row>
    <row r="88" spans="1:5" s="2" customFormat="1" ht="30" customHeight="1">
      <c r="A88" s="214" t="s">
        <v>73</v>
      </c>
      <c r="B88" s="214"/>
      <c r="C88" s="22"/>
      <c r="E88" s="2" t="s">
        <v>15</v>
      </c>
    </row>
    <row r="89" s="2" customFormat="1" ht="15">
      <c r="A89" s="53"/>
    </row>
    <row r="90" s="2" customFormat="1" ht="15">
      <c r="A90" s="53"/>
    </row>
    <row r="91" s="2" customFormat="1" ht="15">
      <c r="A91" s="53"/>
    </row>
    <row r="92" s="2" customFormat="1" ht="15">
      <c r="A92" s="53"/>
    </row>
  </sheetData>
  <sheetProtection/>
  <mergeCells count="17">
    <mergeCell ref="A87:B87"/>
    <mergeCell ref="A38:C38"/>
    <mergeCell ref="A40:H40"/>
    <mergeCell ref="A1:B1"/>
    <mergeCell ref="A3:E3"/>
    <mergeCell ref="A5:H5"/>
    <mergeCell ref="A6:H6"/>
    <mergeCell ref="A47:C47"/>
    <mergeCell ref="A88:B88"/>
    <mergeCell ref="A75:C75"/>
    <mergeCell ref="A81:D81"/>
    <mergeCell ref="A49:G49"/>
    <mergeCell ref="F68:G68"/>
    <mergeCell ref="F50:G50"/>
    <mergeCell ref="A67:G67"/>
    <mergeCell ref="E81:G81"/>
    <mergeCell ref="A86:B86"/>
  </mergeCells>
  <printOptions/>
  <pageMargins left="0.39" right="0.24" top="0.5" bottom="0.35" header="0.5" footer="0.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61">
      <selection activeCell="B94" sqref="B94"/>
    </sheetView>
  </sheetViews>
  <sheetFormatPr defaultColWidth="9.140625" defaultRowHeight="15"/>
  <cols>
    <col min="1" max="1" width="5.140625" style="57" customWidth="1"/>
    <col min="2" max="2" width="34.140625" style="14" customWidth="1"/>
    <col min="3" max="3" width="7.00390625" style="14" customWidth="1"/>
    <col min="4" max="4" width="5.00390625" style="14" customWidth="1"/>
    <col min="5" max="5" width="11.421875" style="14" customWidth="1"/>
    <col min="6" max="6" width="10.57421875" style="14" customWidth="1"/>
    <col min="7" max="7" width="12.28125" style="14" customWidth="1"/>
    <col min="8" max="8" width="10.00390625" style="14" customWidth="1"/>
    <col min="9" max="16384" width="9.140625" style="14" customWidth="1"/>
  </cols>
  <sheetData>
    <row r="1" spans="1:5" s="2" customFormat="1" ht="15">
      <c r="A1" s="230" t="s">
        <v>0</v>
      </c>
      <c r="B1" s="230"/>
      <c r="C1" s="1" t="s">
        <v>158</v>
      </c>
      <c r="D1" s="1"/>
      <c r="E1" s="1"/>
    </row>
    <row r="2" spans="1:5" s="2" customFormat="1" ht="15">
      <c r="A2" s="60"/>
      <c r="B2" s="60"/>
      <c r="C2" s="1"/>
      <c r="D2" s="1"/>
      <c r="E2" s="1"/>
    </row>
    <row r="3" spans="1:7" s="2" customFormat="1" ht="15">
      <c r="A3" s="230" t="s">
        <v>8</v>
      </c>
      <c r="B3" s="230"/>
      <c r="C3" s="230"/>
      <c r="D3" s="230"/>
      <c r="E3" s="230"/>
      <c r="F3" s="3" t="s">
        <v>49</v>
      </c>
      <c r="G3" s="1"/>
    </row>
    <row r="4" s="2" customFormat="1" ht="15">
      <c r="A4" s="53"/>
    </row>
    <row r="5" spans="1:8" s="2" customFormat="1" ht="18.75">
      <c r="A5" s="231" t="s">
        <v>169</v>
      </c>
      <c r="B5" s="231"/>
      <c r="C5" s="231"/>
      <c r="D5" s="231"/>
      <c r="E5" s="231"/>
      <c r="F5" s="231"/>
      <c r="G5" s="231"/>
      <c r="H5" s="231"/>
    </row>
    <row r="6" spans="1:8" s="2" customFormat="1" ht="15">
      <c r="A6" s="214" t="s">
        <v>149</v>
      </c>
      <c r="B6" s="214"/>
      <c r="C6" s="214"/>
      <c r="D6" s="214"/>
      <c r="E6" s="214"/>
      <c r="F6" s="214"/>
      <c r="G6" s="214"/>
      <c r="H6" s="214"/>
    </row>
    <row r="7" spans="1:6" s="2" customFormat="1" ht="15">
      <c r="A7" s="53"/>
      <c r="B7" s="4" t="s">
        <v>2</v>
      </c>
      <c r="C7" s="4"/>
      <c r="D7" s="5" t="s">
        <v>168</v>
      </c>
      <c r="E7" s="4"/>
      <c r="F7" s="4"/>
    </row>
    <row r="8" s="2" customFormat="1" ht="7.5" customHeight="1">
      <c r="A8" s="53"/>
    </row>
    <row r="9" spans="1:9" s="2" customFormat="1" ht="15">
      <c r="A9" s="148" t="s">
        <v>23</v>
      </c>
      <c r="B9" s="148"/>
      <c r="C9" s="148"/>
      <c r="D9" s="148"/>
      <c r="E9" s="148"/>
      <c r="F9" s="148"/>
      <c r="G9" s="148"/>
      <c r="H9" s="7" t="s">
        <v>50</v>
      </c>
      <c r="I9" s="7"/>
    </row>
    <row r="10" spans="1:12" s="2" customFormat="1" ht="37.5" customHeight="1">
      <c r="A10" s="17" t="s">
        <v>3</v>
      </c>
      <c r="B10" s="15" t="s">
        <v>40</v>
      </c>
      <c r="C10" s="15" t="s">
        <v>5</v>
      </c>
      <c r="D10" s="15" t="s">
        <v>6</v>
      </c>
      <c r="E10" s="16" t="s">
        <v>17</v>
      </c>
      <c r="F10" s="16" t="s">
        <v>39</v>
      </c>
      <c r="G10" s="15" t="s">
        <v>18</v>
      </c>
      <c r="H10" s="15" t="s">
        <v>7</v>
      </c>
      <c r="L10" s="6"/>
    </row>
    <row r="11" spans="1:8" s="2" customFormat="1" ht="28.5" customHeight="1">
      <c r="A11" s="17" t="s">
        <v>24</v>
      </c>
      <c r="B11" s="18" t="s">
        <v>13</v>
      </c>
      <c r="C11" s="15" t="s">
        <v>16</v>
      </c>
      <c r="D11" s="19">
        <v>1</v>
      </c>
      <c r="E11" s="23"/>
      <c r="F11" s="23"/>
      <c r="G11" s="23">
        <f aca="true" t="shared" si="0" ref="G11:G23">E11+F11</f>
        <v>0</v>
      </c>
      <c r="H11" s="19"/>
    </row>
    <row r="12" spans="1:8" s="2" customFormat="1" ht="28.5" customHeight="1">
      <c r="A12" s="17" t="s">
        <v>25</v>
      </c>
      <c r="B12" s="18" t="s">
        <v>14</v>
      </c>
      <c r="C12" s="15" t="s">
        <v>16</v>
      </c>
      <c r="D12" s="19">
        <v>1</v>
      </c>
      <c r="E12" s="23"/>
      <c r="F12" s="23"/>
      <c r="G12" s="23">
        <f t="shared" si="0"/>
        <v>0</v>
      </c>
      <c r="H12" s="19"/>
    </row>
    <row r="13" spans="1:8" s="2" customFormat="1" ht="28.5" customHeight="1">
      <c r="A13" s="17" t="s">
        <v>26</v>
      </c>
      <c r="B13" s="18" t="s">
        <v>22</v>
      </c>
      <c r="C13" s="15" t="s">
        <v>16</v>
      </c>
      <c r="D13" s="19">
        <v>1</v>
      </c>
      <c r="E13" s="23"/>
      <c r="F13" s="23"/>
      <c r="G13" s="23">
        <f t="shared" si="0"/>
        <v>0</v>
      </c>
      <c r="H13" s="19"/>
    </row>
    <row r="14" spans="1:8" s="2" customFormat="1" ht="15">
      <c r="A14" s="17" t="s">
        <v>27</v>
      </c>
      <c r="B14" s="155" t="s">
        <v>129</v>
      </c>
      <c r="C14" s="158"/>
      <c r="D14" s="158"/>
      <c r="E14" s="158"/>
      <c r="F14" s="158"/>
      <c r="G14" s="23">
        <f t="shared" si="0"/>
        <v>0</v>
      </c>
      <c r="H14" s="19"/>
    </row>
    <row r="15" spans="1:8" s="2" customFormat="1" ht="15">
      <c r="A15" s="17" t="s">
        <v>28</v>
      </c>
      <c r="B15" s="18" t="s">
        <v>21</v>
      </c>
      <c r="C15" s="15" t="s">
        <v>16</v>
      </c>
      <c r="D15" s="19">
        <v>1</v>
      </c>
      <c r="E15" s="24"/>
      <c r="F15" s="23"/>
      <c r="G15" s="23">
        <f t="shared" si="0"/>
        <v>0</v>
      </c>
      <c r="H15" s="19"/>
    </row>
    <row r="16" spans="1:11" s="2" customFormat="1" ht="15">
      <c r="A16" s="17" t="s">
        <v>29</v>
      </c>
      <c r="B16" s="18" t="s">
        <v>19</v>
      </c>
      <c r="C16" s="15" t="s">
        <v>16</v>
      </c>
      <c r="D16" s="19">
        <v>1</v>
      </c>
      <c r="E16" s="20"/>
      <c r="F16" s="23"/>
      <c r="G16" s="23">
        <f t="shared" si="0"/>
        <v>0</v>
      </c>
      <c r="H16" s="19"/>
      <c r="K16" s="2" t="s">
        <v>97</v>
      </c>
    </row>
    <row r="17" spans="1:8" s="2" customFormat="1" ht="15">
      <c r="A17" s="17" t="s">
        <v>30</v>
      </c>
      <c r="B17" s="18" t="s">
        <v>20</v>
      </c>
      <c r="C17" s="15" t="s">
        <v>16</v>
      </c>
      <c r="D17" s="19">
        <v>1</v>
      </c>
      <c r="E17" s="23"/>
      <c r="F17" s="23"/>
      <c r="G17" s="23">
        <f t="shared" si="0"/>
        <v>0</v>
      </c>
      <c r="H17" s="19"/>
    </row>
    <row r="18" spans="1:8" s="2" customFormat="1" ht="15">
      <c r="A18" s="17" t="s">
        <v>31</v>
      </c>
      <c r="B18" s="18" t="s">
        <v>51</v>
      </c>
      <c r="C18" s="15" t="s">
        <v>16</v>
      </c>
      <c r="D18" s="19">
        <v>1</v>
      </c>
      <c r="E18" s="23"/>
      <c r="F18" s="23"/>
      <c r="G18" s="23">
        <f t="shared" si="0"/>
        <v>0</v>
      </c>
      <c r="H18" s="19"/>
    </row>
    <row r="19" spans="1:8" s="2" customFormat="1" ht="15">
      <c r="A19" s="17" t="s">
        <v>134</v>
      </c>
      <c r="B19" s="18" t="s">
        <v>52</v>
      </c>
      <c r="C19" s="15" t="s">
        <v>16</v>
      </c>
      <c r="D19" s="19">
        <v>1</v>
      </c>
      <c r="E19" s="23"/>
      <c r="F19" s="23"/>
      <c r="G19" s="23">
        <f t="shared" si="0"/>
        <v>0</v>
      </c>
      <c r="H19" s="19"/>
    </row>
    <row r="20" spans="1:8" s="2" customFormat="1" ht="15">
      <c r="A20" s="17" t="s">
        <v>135</v>
      </c>
      <c r="B20" s="33" t="s">
        <v>105</v>
      </c>
      <c r="C20" s="15" t="s">
        <v>16</v>
      </c>
      <c r="D20" s="19">
        <v>1</v>
      </c>
      <c r="E20" s="23"/>
      <c r="F20" s="23"/>
      <c r="G20" s="23">
        <f t="shared" si="0"/>
        <v>0</v>
      </c>
      <c r="H20" s="19"/>
    </row>
    <row r="21" spans="1:8" s="2" customFormat="1" ht="15">
      <c r="A21" s="17" t="s">
        <v>189</v>
      </c>
      <c r="B21" s="33" t="s">
        <v>106</v>
      </c>
      <c r="C21" s="15" t="s">
        <v>16</v>
      </c>
      <c r="D21" s="19">
        <v>1</v>
      </c>
      <c r="E21" s="23"/>
      <c r="F21" s="23"/>
      <c r="G21" s="23">
        <f t="shared" si="0"/>
        <v>0</v>
      </c>
      <c r="H21" s="19"/>
    </row>
    <row r="22" spans="1:8" s="2" customFormat="1" ht="15">
      <c r="A22" s="17" t="s">
        <v>190</v>
      </c>
      <c r="B22" s="33" t="s">
        <v>107</v>
      </c>
      <c r="C22" s="15" t="s">
        <v>16</v>
      </c>
      <c r="D22" s="19">
        <v>1</v>
      </c>
      <c r="E22" s="23"/>
      <c r="F22" s="23"/>
      <c r="G22" s="23">
        <f t="shared" si="0"/>
        <v>0</v>
      </c>
      <c r="H22" s="19"/>
    </row>
    <row r="23" spans="1:8" s="2" customFormat="1" ht="15">
      <c r="A23" s="17" t="s">
        <v>191</v>
      </c>
      <c r="B23" s="33" t="s">
        <v>109</v>
      </c>
      <c r="C23" s="15" t="s">
        <v>16</v>
      </c>
      <c r="D23" s="19">
        <v>1</v>
      </c>
      <c r="E23" s="23"/>
      <c r="F23" s="23"/>
      <c r="G23" s="23">
        <f t="shared" si="0"/>
        <v>0</v>
      </c>
      <c r="H23" s="19"/>
    </row>
    <row r="24" spans="1:8" s="2" customFormat="1" ht="15">
      <c r="A24" s="17" t="s">
        <v>192</v>
      </c>
      <c r="B24" s="18" t="s">
        <v>48</v>
      </c>
      <c r="C24" s="15"/>
      <c r="D24" s="19"/>
      <c r="E24" s="23">
        <f>E25+E26</f>
        <v>0</v>
      </c>
      <c r="F24" s="23">
        <f>F25+F26</f>
        <v>0</v>
      </c>
      <c r="G24" s="23">
        <f>G25+G26</f>
        <v>0</v>
      </c>
      <c r="H24" s="19"/>
    </row>
    <row r="25" spans="1:8" s="4" customFormat="1" ht="15">
      <c r="A25" s="55"/>
      <c r="B25" s="34"/>
      <c r="C25" s="160"/>
      <c r="D25" s="35"/>
      <c r="E25" s="36"/>
      <c r="F25" s="36"/>
      <c r="G25" s="36">
        <f>E25+F25</f>
        <v>0</v>
      </c>
      <c r="H25" s="35"/>
    </row>
    <row r="26" spans="1:8" s="4" customFormat="1" ht="15">
      <c r="A26" s="55"/>
      <c r="B26" s="34"/>
      <c r="C26" s="160" t="s">
        <v>9</v>
      </c>
      <c r="D26" s="35"/>
      <c r="E26" s="161"/>
      <c r="F26" s="36"/>
      <c r="G26" s="36">
        <f>E26+F26</f>
        <v>0</v>
      </c>
      <c r="H26" s="35"/>
    </row>
    <row r="27" spans="1:8" s="2" customFormat="1" ht="17.25" customHeight="1">
      <c r="A27" s="61" t="s">
        <v>33</v>
      </c>
      <c r="B27" s="62"/>
      <c r="C27" s="170"/>
      <c r="D27" s="135"/>
      <c r="E27" s="171">
        <f>E11+E12+E13+E14+E15+E16+E17+E18+E19+E24+E20+E21+E22+E23</f>
        <v>0</v>
      </c>
      <c r="F27" s="171">
        <f>F11+F12+F13+F14+F15+F16+F17+F18+F19+F24+F20+F21+F22+F23</f>
        <v>0</v>
      </c>
      <c r="G27" s="171">
        <f>G11+G12+G13+G14+G15+G16+G17+G18+G19+G24+G20+G21+G22+G23</f>
        <v>0</v>
      </c>
      <c r="H27" s="41"/>
    </row>
    <row r="28" s="2" customFormat="1" ht="8.25" customHeight="1">
      <c r="A28" s="53"/>
    </row>
    <row r="29" spans="1:8" s="2" customFormat="1" ht="15">
      <c r="A29" s="148" t="s">
        <v>32</v>
      </c>
      <c r="B29" s="148"/>
      <c r="C29" s="148"/>
      <c r="D29" s="148"/>
      <c r="E29" s="148"/>
      <c r="F29" s="148"/>
      <c r="G29" s="148"/>
      <c r="H29" s="148"/>
    </row>
    <row r="30" spans="1:8" s="2" customFormat="1" ht="36.75" customHeight="1">
      <c r="A30" s="17" t="s">
        <v>3</v>
      </c>
      <c r="B30" s="15" t="s">
        <v>40</v>
      </c>
      <c r="C30" s="15" t="s">
        <v>5</v>
      </c>
      <c r="D30" s="15" t="s">
        <v>6</v>
      </c>
      <c r="E30" s="16" t="s">
        <v>17</v>
      </c>
      <c r="F30" s="16" t="s">
        <v>39</v>
      </c>
      <c r="G30" s="15" t="s">
        <v>18</v>
      </c>
      <c r="H30" s="15" t="s">
        <v>7</v>
      </c>
    </row>
    <row r="31" spans="1:8" s="2" customFormat="1" ht="25.5" customHeight="1">
      <c r="A31" s="17" t="s">
        <v>34</v>
      </c>
      <c r="B31" s="18" t="s">
        <v>150</v>
      </c>
      <c r="C31" s="15" t="s">
        <v>16</v>
      </c>
      <c r="D31" s="19">
        <v>1</v>
      </c>
      <c r="E31" s="23"/>
      <c r="F31" s="23"/>
      <c r="G31" s="23">
        <f aca="true" t="shared" si="1" ref="G31:G37">E31+F31</f>
        <v>0</v>
      </c>
      <c r="H31" s="19"/>
    </row>
    <row r="32" spans="1:8" s="2" customFormat="1" ht="26.25" customHeight="1">
      <c r="A32" s="17" t="s">
        <v>35</v>
      </c>
      <c r="B32" s="18" t="s">
        <v>151</v>
      </c>
      <c r="C32" s="15" t="s">
        <v>16</v>
      </c>
      <c r="D32" s="19">
        <v>1</v>
      </c>
      <c r="E32" s="23"/>
      <c r="F32" s="23"/>
      <c r="G32" s="23">
        <f t="shared" si="1"/>
        <v>0</v>
      </c>
      <c r="H32" s="19"/>
    </row>
    <row r="33" spans="1:8" s="2" customFormat="1" ht="15">
      <c r="A33" s="17" t="s">
        <v>36</v>
      </c>
      <c r="B33" s="155" t="s">
        <v>129</v>
      </c>
      <c r="C33" s="15"/>
      <c r="D33" s="19"/>
      <c r="E33" s="23"/>
      <c r="F33" s="23"/>
      <c r="G33" s="23">
        <f t="shared" si="1"/>
        <v>0</v>
      </c>
      <c r="H33" s="19"/>
    </row>
    <row r="34" spans="1:8" s="2" customFormat="1" ht="15">
      <c r="A34" s="17" t="s">
        <v>37</v>
      </c>
      <c r="B34" s="18" t="s">
        <v>53</v>
      </c>
      <c r="C34" s="15" t="s">
        <v>16</v>
      </c>
      <c r="D34" s="19">
        <v>1</v>
      </c>
      <c r="E34" s="23"/>
      <c r="F34" s="23"/>
      <c r="G34" s="23">
        <f t="shared" si="1"/>
        <v>0</v>
      </c>
      <c r="H34" s="19"/>
    </row>
    <row r="35" spans="1:8" s="2" customFormat="1" ht="15">
      <c r="A35" s="17" t="s">
        <v>137</v>
      </c>
      <c r="B35" s="18" t="s">
        <v>48</v>
      </c>
      <c r="C35" s="15" t="s">
        <v>9</v>
      </c>
      <c r="D35" s="19">
        <v>1</v>
      </c>
      <c r="E35" s="23">
        <f>E36+E37</f>
        <v>0</v>
      </c>
      <c r="F35" s="23">
        <f>F36+F37</f>
        <v>0</v>
      </c>
      <c r="G35" s="23">
        <f t="shared" si="1"/>
        <v>0</v>
      </c>
      <c r="H35" s="19"/>
    </row>
    <row r="36" spans="1:8" s="4" customFormat="1" ht="15">
      <c r="A36" s="55"/>
      <c r="B36" s="34"/>
      <c r="C36" s="160"/>
      <c r="D36" s="35"/>
      <c r="E36" s="36"/>
      <c r="F36" s="36"/>
      <c r="G36" s="36">
        <f t="shared" si="1"/>
        <v>0</v>
      </c>
      <c r="H36" s="35"/>
    </row>
    <row r="37" spans="1:9" s="4" customFormat="1" ht="15">
      <c r="A37" s="55"/>
      <c r="B37" s="34"/>
      <c r="C37" s="160"/>
      <c r="D37" s="35"/>
      <c r="E37" s="36"/>
      <c r="F37" s="36"/>
      <c r="G37" s="36">
        <f t="shared" si="1"/>
        <v>0</v>
      </c>
      <c r="H37" s="35"/>
      <c r="I37" s="4" t="s">
        <v>97</v>
      </c>
    </row>
    <row r="38" spans="1:8" s="2" customFormat="1" ht="15">
      <c r="A38" s="227" t="s">
        <v>10</v>
      </c>
      <c r="B38" s="228"/>
      <c r="C38" s="229"/>
      <c r="D38" s="41"/>
      <c r="E38" s="171">
        <f>E31+E32+E33+E34+E35</f>
        <v>0</v>
      </c>
      <c r="F38" s="171">
        <f>F31+F32+F33+F34+F35</f>
        <v>0</v>
      </c>
      <c r="G38" s="171">
        <f>G31+G32+G33+G34+G35</f>
        <v>0</v>
      </c>
      <c r="H38" s="41"/>
    </row>
    <row r="39" s="2" customFormat="1" ht="9.75" customHeight="1">
      <c r="A39" s="53"/>
    </row>
    <row r="40" spans="1:8" s="2" customFormat="1" ht="15">
      <c r="A40" s="219" t="s">
        <v>38</v>
      </c>
      <c r="B40" s="219"/>
      <c r="C40" s="219"/>
      <c r="D40" s="219"/>
      <c r="E40" s="219"/>
      <c r="F40" s="219"/>
      <c r="G40" s="219"/>
      <c r="H40" s="219"/>
    </row>
    <row r="41" spans="1:8" s="2" customFormat="1" ht="36" customHeight="1">
      <c r="A41" s="17" t="s">
        <v>3</v>
      </c>
      <c r="B41" s="15" t="s">
        <v>40</v>
      </c>
      <c r="C41" s="15" t="s">
        <v>5</v>
      </c>
      <c r="D41" s="15" t="s">
        <v>6</v>
      </c>
      <c r="E41" s="16" t="s">
        <v>17</v>
      </c>
      <c r="F41" s="16" t="s">
        <v>39</v>
      </c>
      <c r="G41" s="15" t="s">
        <v>18</v>
      </c>
      <c r="H41" s="15" t="s">
        <v>7</v>
      </c>
    </row>
    <row r="42" spans="1:8" s="2" customFormat="1" ht="26.25" customHeight="1">
      <c r="A42" s="17" t="s">
        <v>42</v>
      </c>
      <c r="B42" s="18" t="s">
        <v>153</v>
      </c>
      <c r="C42" s="15" t="s">
        <v>16</v>
      </c>
      <c r="D42" s="15">
        <v>1</v>
      </c>
      <c r="E42" s="25"/>
      <c r="F42" s="25"/>
      <c r="G42" s="26">
        <f>E42+F42</f>
        <v>0</v>
      </c>
      <c r="H42" s="19"/>
    </row>
    <row r="43" spans="1:8" s="2" customFormat="1" ht="15">
      <c r="A43" s="17"/>
      <c r="B43" s="155" t="s">
        <v>129</v>
      </c>
      <c r="C43" s="15"/>
      <c r="D43" s="15"/>
      <c r="E43" s="25"/>
      <c r="F43" s="25"/>
      <c r="G43" s="26">
        <f>E43+F43</f>
        <v>0</v>
      </c>
      <c r="H43" s="19"/>
    </row>
    <row r="44" spans="1:8" s="2" customFormat="1" ht="15">
      <c r="A44" s="17" t="s">
        <v>43</v>
      </c>
      <c r="B44" s="18" t="s">
        <v>48</v>
      </c>
      <c r="C44" s="15"/>
      <c r="D44" s="15"/>
      <c r="E44" s="25"/>
      <c r="F44" s="25"/>
      <c r="G44" s="26">
        <f>E44+F44</f>
        <v>0</v>
      </c>
      <c r="H44" s="19"/>
    </row>
    <row r="45" spans="1:11" s="2" customFormat="1" ht="15">
      <c r="A45" s="17"/>
      <c r="B45" s="18"/>
      <c r="C45" s="15"/>
      <c r="D45" s="19"/>
      <c r="E45" s="23"/>
      <c r="F45" s="26"/>
      <c r="G45" s="37">
        <f>E45+F45</f>
        <v>0</v>
      </c>
      <c r="H45" s="19"/>
      <c r="K45" s="12">
        <f>F27+F38+F47</f>
        <v>0</v>
      </c>
    </row>
    <row r="46" spans="1:8" s="2" customFormat="1" ht="15">
      <c r="A46" s="17"/>
      <c r="B46" s="18"/>
      <c r="C46" s="19"/>
      <c r="D46" s="19"/>
      <c r="E46" s="23"/>
      <c r="F46" s="26"/>
      <c r="G46" s="37">
        <f>E46+F46</f>
        <v>0</v>
      </c>
      <c r="H46" s="19"/>
    </row>
    <row r="47" spans="1:8" s="1" customFormat="1" ht="15">
      <c r="A47" s="211" t="s">
        <v>41</v>
      </c>
      <c r="B47" s="212"/>
      <c r="C47" s="213"/>
      <c r="D47" s="198"/>
      <c r="E47" s="171">
        <f>SUM(E42:E46)</f>
        <v>0</v>
      </c>
      <c r="F47" s="199">
        <f>SUM(F42:F44)</f>
        <v>0</v>
      </c>
      <c r="G47" s="171">
        <f>SUM(G42:G46)</f>
        <v>0</v>
      </c>
      <c r="H47" s="198"/>
    </row>
    <row r="48" spans="1:8" s="2" customFormat="1" ht="7.5" customHeight="1">
      <c r="A48" s="54"/>
      <c r="B48" s="8"/>
      <c r="C48" s="8"/>
      <c r="D48" s="9"/>
      <c r="E48" s="9"/>
      <c r="F48" s="10"/>
      <c r="G48" s="9"/>
      <c r="H48" s="11"/>
    </row>
    <row r="49" spans="1:8" s="7" customFormat="1" ht="15" customHeight="1">
      <c r="A49" s="219" t="s">
        <v>154</v>
      </c>
      <c r="B49" s="219"/>
      <c r="C49" s="219"/>
      <c r="D49" s="219"/>
      <c r="E49" s="219"/>
      <c r="F49" s="219"/>
      <c r="G49" s="219"/>
      <c r="H49" s="58"/>
    </row>
    <row r="50" spans="1:7" s="2" customFormat="1" ht="24.75">
      <c r="A50" s="17" t="s">
        <v>3</v>
      </c>
      <c r="B50" s="15" t="s">
        <v>4</v>
      </c>
      <c r="C50" s="15" t="s">
        <v>5</v>
      </c>
      <c r="D50" s="15" t="s">
        <v>6</v>
      </c>
      <c r="E50" s="16" t="s">
        <v>45</v>
      </c>
      <c r="F50" s="220" t="s">
        <v>46</v>
      </c>
      <c r="G50" s="221"/>
    </row>
    <row r="51" spans="1:7" s="2" customFormat="1" ht="25.5" customHeight="1">
      <c r="A51" s="17" t="s">
        <v>67</v>
      </c>
      <c r="B51" s="27" t="s">
        <v>152</v>
      </c>
      <c r="C51" s="29" t="s">
        <v>16</v>
      </c>
      <c r="D51" s="28">
        <v>1</v>
      </c>
      <c r="E51" s="30"/>
      <c r="F51" s="30"/>
      <c r="G51" s="30"/>
    </row>
    <row r="52" spans="1:7" s="2" customFormat="1" ht="15">
      <c r="A52" s="17" t="s">
        <v>68</v>
      </c>
      <c r="B52" s="28" t="s">
        <v>54</v>
      </c>
      <c r="C52" s="29" t="s">
        <v>16</v>
      </c>
      <c r="D52" s="28">
        <v>1</v>
      </c>
      <c r="E52" s="30"/>
      <c r="F52" s="30"/>
      <c r="G52" s="30"/>
    </row>
    <row r="53" spans="1:7" s="2" customFormat="1" ht="15">
      <c r="A53" s="17" t="s">
        <v>69</v>
      </c>
      <c r="B53" s="28" t="s">
        <v>55</v>
      </c>
      <c r="C53" s="29" t="s">
        <v>16</v>
      </c>
      <c r="D53" s="28">
        <v>1</v>
      </c>
      <c r="E53" s="30"/>
      <c r="F53" s="30"/>
      <c r="G53" s="30"/>
    </row>
    <row r="54" spans="1:7" s="2" customFormat="1" ht="15">
      <c r="A54" s="17" t="s">
        <v>70</v>
      </c>
      <c r="B54" s="28" t="s">
        <v>56</v>
      </c>
      <c r="C54" s="29" t="s">
        <v>16</v>
      </c>
      <c r="D54" s="28">
        <v>1</v>
      </c>
      <c r="E54" s="30"/>
      <c r="F54" s="30"/>
      <c r="G54" s="30"/>
    </row>
    <row r="55" spans="1:7" s="2" customFormat="1" ht="15">
      <c r="A55" s="17" t="s">
        <v>72</v>
      </c>
      <c r="B55" s="18" t="s">
        <v>75</v>
      </c>
      <c r="C55" s="29" t="s">
        <v>16</v>
      </c>
      <c r="D55" s="28">
        <v>1</v>
      </c>
      <c r="E55" s="30">
        <f>E56+E57+E58+E59+E60+E61+E62+E63+E64</f>
        <v>0</v>
      </c>
      <c r="F55" s="30"/>
      <c r="G55" s="30"/>
    </row>
    <row r="56" spans="1:7" s="4" customFormat="1" ht="15">
      <c r="A56" s="55"/>
      <c r="B56" s="34" t="s">
        <v>64</v>
      </c>
      <c r="C56" s="29" t="s">
        <v>16</v>
      </c>
      <c r="D56" s="28">
        <v>1</v>
      </c>
      <c r="E56" s="36"/>
      <c r="F56" s="37"/>
      <c r="G56" s="36"/>
    </row>
    <row r="57" spans="1:11" s="4" customFormat="1" ht="15">
      <c r="A57" s="55"/>
      <c r="B57" s="34" t="s">
        <v>65</v>
      </c>
      <c r="C57" s="29" t="s">
        <v>16</v>
      </c>
      <c r="D57" s="28">
        <v>1</v>
      </c>
      <c r="E57" s="36"/>
      <c r="F57" s="37"/>
      <c r="G57" s="36"/>
      <c r="J57" s="38"/>
      <c r="K57" s="39"/>
    </row>
    <row r="58" spans="1:7" s="4" customFormat="1" ht="24.75">
      <c r="A58" s="55"/>
      <c r="B58" s="34" t="s">
        <v>66</v>
      </c>
      <c r="C58" s="29" t="s">
        <v>16</v>
      </c>
      <c r="D58" s="28">
        <v>1</v>
      </c>
      <c r="E58" s="36"/>
      <c r="F58" s="37"/>
      <c r="G58" s="36"/>
    </row>
    <row r="59" spans="1:7" s="4" customFormat="1" ht="15">
      <c r="A59" s="55"/>
      <c r="B59" s="34" t="s">
        <v>71</v>
      </c>
      <c r="C59" s="29" t="s">
        <v>16</v>
      </c>
      <c r="D59" s="28">
        <v>1</v>
      </c>
      <c r="E59" s="35"/>
      <c r="F59" s="40"/>
      <c r="G59" s="35"/>
    </row>
    <row r="60" spans="1:7" s="4" customFormat="1" ht="15">
      <c r="A60" s="55"/>
      <c r="B60" s="34" t="s">
        <v>76</v>
      </c>
      <c r="C60" s="29" t="s">
        <v>16</v>
      </c>
      <c r="D60" s="28">
        <v>1</v>
      </c>
      <c r="E60" s="35"/>
      <c r="F60" s="40"/>
      <c r="G60" s="35"/>
    </row>
    <row r="61" spans="1:7" s="4" customFormat="1" ht="15">
      <c r="A61" s="55"/>
      <c r="B61" s="34" t="s">
        <v>74</v>
      </c>
      <c r="C61" s="29" t="s">
        <v>16</v>
      </c>
      <c r="D61" s="28">
        <v>1</v>
      </c>
      <c r="E61" s="35"/>
      <c r="F61" s="40"/>
      <c r="G61" s="35"/>
    </row>
    <row r="62" spans="1:7" s="4" customFormat="1" ht="15">
      <c r="A62" s="55"/>
      <c r="B62" s="34" t="s">
        <v>77</v>
      </c>
      <c r="C62" s="29" t="s">
        <v>16</v>
      </c>
      <c r="D62" s="28">
        <v>1</v>
      </c>
      <c r="E62" s="35"/>
      <c r="F62" s="40"/>
      <c r="G62" s="35"/>
    </row>
    <row r="63" spans="1:7" s="4" customFormat="1" ht="15">
      <c r="A63" s="55"/>
      <c r="B63" s="34" t="s">
        <v>78</v>
      </c>
      <c r="C63" s="29" t="s">
        <v>16</v>
      </c>
      <c r="D63" s="28">
        <v>1</v>
      </c>
      <c r="E63" s="35"/>
      <c r="F63" s="40"/>
      <c r="G63" s="35"/>
    </row>
    <row r="64" spans="1:9" s="4" customFormat="1" ht="15">
      <c r="A64" s="55"/>
      <c r="B64" s="34"/>
      <c r="C64" s="35"/>
      <c r="D64" s="35"/>
      <c r="E64" s="35"/>
      <c r="F64" s="40"/>
      <c r="G64" s="35"/>
      <c r="I64" s="39"/>
    </row>
    <row r="65" spans="1:7" s="2" customFormat="1" ht="15">
      <c r="A65" s="180" t="s">
        <v>155</v>
      </c>
      <c r="B65" s="181"/>
      <c r="C65" s="182"/>
      <c r="D65" s="41"/>
      <c r="E65" s="42">
        <f>E51+E52+E53+E54+E55</f>
        <v>0</v>
      </c>
      <c r="F65" s="43"/>
      <c r="G65" s="41"/>
    </row>
    <row r="66" spans="1:7" s="52" customFormat="1" ht="25.5">
      <c r="A66" s="56" t="s">
        <v>156</v>
      </c>
      <c r="B66" s="47" t="s">
        <v>57</v>
      </c>
      <c r="C66" s="48" t="s">
        <v>16</v>
      </c>
      <c r="D66" s="49">
        <v>1</v>
      </c>
      <c r="E66" s="51"/>
      <c r="F66" s="50"/>
      <c r="G66" s="51"/>
    </row>
    <row r="67" spans="1:7" s="46" customFormat="1" ht="15" customHeight="1">
      <c r="A67" s="222" t="s">
        <v>157</v>
      </c>
      <c r="B67" s="223"/>
      <c r="C67" s="223"/>
      <c r="D67" s="223"/>
      <c r="E67" s="223"/>
      <c r="F67" s="223"/>
      <c r="G67" s="224"/>
    </row>
    <row r="68" spans="1:7" s="2" customFormat="1" ht="33.75" customHeight="1">
      <c r="A68" s="17" t="s">
        <v>3</v>
      </c>
      <c r="B68" s="15" t="s">
        <v>4</v>
      </c>
      <c r="C68" s="15" t="s">
        <v>5</v>
      </c>
      <c r="D68" s="15" t="s">
        <v>6</v>
      </c>
      <c r="E68" s="16" t="s">
        <v>45</v>
      </c>
      <c r="F68" s="220" t="s">
        <v>46</v>
      </c>
      <c r="G68" s="221"/>
    </row>
    <row r="69" spans="1:7" s="2" customFormat="1" ht="25.5" customHeight="1">
      <c r="A69" s="17"/>
      <c r="B69" s="33" t="s">
        <v>58</v>
      </c>
      <c r="C69" s="29" t="s">
        <v>16</v>
      </c>
      <c r="D69" s="28">
        <v>1</v>
      </c>
      <c r="E69" s="30"/>
      <c r="F69" s="30"/>
      <c r="G69" s="30"/>
    </row>
    <row r="70" spans="1:7" s="2" customFormat="1" ht="15">
      <c r="A70" s="17"/>
      <c r="B70" s="33" t="s">
        <v>59</v>
      </c>
      <c r="C70" s="29" t="s">
        <v>16</v>
      </c>
      <c r="D70" s="28">
        <v>1</v>
      </c>
      <c r="E70" s="30"/>
      <c r="F70" s="30"/>
      <c r="G70" s="30"/>
    </row>
    <row r="71" spans="1:7" s="2" customFormat="1" ht="15">
      <c r="A71" s="17"/>
      <c r="B71" s="33" t="s">
        <v>60</v>
      </c>
      <c r="C71" s="29" t="s">
        <v>16</v>
      </c>
      <c r="D71" s="28">
        <v>1</v>
      </c>
      <c r="E71" s="30"/>
      <c r="F71" s="30"/>
      <c r="G71" s="30"/>
    </row>
    <row r="72" spans="1:7" s="2" customFormat="1" ht="15">
      <c r="A72" s="17"/>
      <c r="B72" s="33" t="s">
        <v>61</v>
      </c>
      <c r="C72" s="29" t="s">
        <v>16</v>
      </c>
      <c r="D72" s="28">
        <v>1</v>
      </c>
      <c r="E72" s="30"/>
      <c r="F72" s="30"/>
      <c r="G72" s="30"/>
    </row>
    <row r="73" spans="1:9" s="2" customFormat="1" ht="15">
      <c r="A73" s="17"/>
      <c r="B73" s="33" t="s">
        <v>62</v>
      </c>
      <c r="C73" s="29" t="s">
        <v>16</v>
      </c>
      <c r="D73" s="19">
        <v>1</v>
      </c>
      <c r="E73" s="30"/>
      <c r="F73" s="26"/>
      <c r="G73" s="23"/>
      <c r="I73" s="13">
        <f>E72+E73</f>
        <v>0</v>
      </c>
    </row>
    <row r="74" spans="1:7" s="2" customFormat="1" ht="15">
      <c r="A74" s="17"/>
      <c r="B74" s="18"/>
      <c r="C74" s="29"/>
      <c r="D74" s="28"/>
      <c r="E74" s="30"/>
      <c r="F74" s="30"/>
      <c r="G74" s="30"/>
    </row>
    <row r="75" spans="1:7" s="2" customFormat="1" ht="15">
      <c r="A75" s="215" t="s">
        <v>63</v>
      </c>
      <c r="B75" s="216"/>
      <c r="C75" s="217"/>
      <c r="D75" s="19"/>
      <c r="E75" s="30">
        <f>SUM(E69:E74)</f>
        <v>0</v>
      </c>
      <c r="F75" s="21"/>
      <c r="G75" s="19"/>
    </row>
    <row r="76" spans="1:7" s="2" customFormat="1" ht="15">
      <c r="A76" s="54"/>
      <c r="B76" s="8"/>
      <c r="C76" s="8"/>
      <c r="D76" s="31"/>
      <c r="E76" s="45"/>
      <c r="F76" s="32"/>
      <c r="G76" s="31"/>
    </row>
    <row r="77" spans="1:7" s="2" customFormat="1" ht="15">
      <c r="A77" s="54"/>
      <c r="B77" s="8"/>
      <c r="C77" s="8"/>
      <c r="D77" s="31"/>
      <c r="E77" s="45"/>
      <c r="F77" s="32"/>
      <c r="G77" s="31"/>
    </row>
    <row r="78" spans="1:7" s="2" customFormat="1" ht="15">
      <c r="A78" s="54"/>
      <c r="B78" s="8"/>
      <c r="C78" s="8"/>
      <c r="D78" s="31"/>
      <c r="E78" s="45"/>
      <c r="F78" s="32"/>
      <c r="G78" s="31"/>
    </row>
    <row r="79" spans="1:7" s="2" customFormat="1" ht="15">
      <c r="A79" s="54"/>
      <c r="B79" s="8"/>
      <c r="C79" s="8"/>
      <c r="D79" s="31"/>
      <c r="E79" s="45"/>
      <c r="F79" s="32"/>
      <c r="G79" s="31"/>
    </row>
    <row r="80" s="2" customFormat="1" ht="15">
      <c r="A80" s="53"/>
    </row>
    <row r="81" spans="1:7" s="2" customFormat="1" ht="15">
      <c r="A81" s="218" t="s">
        <v>11</v>
      </c>
      <c r="B81" s="218"/>
      <c r="C81" s="218"/>
      <c r="D81" s="218"/>
      <c r="E81" s="225">
        <f>G27+G38+G47+E65+E66+E75</f>
        <v>0</v>
      </c>
      <c r="F81" s="225"/>
      <c r="G81" s="225"/>
    </row>
    <row r="82" spans="1:7" s="2" customFormat="1" ht="15">
      <c r="A82" s="53"/>
      <c r="G82" s="13"/>
    </row>
    <row r="83" s="2" customFormat="1" ht="15">
      <c r="A83" s="53"/>
    </row>
    <row r="84" s="2" customFormat="1" ht="15">
      <c r="A84" s="53"/>
    </row>
    <row r="85" s="2" customFormat="1" ht="15">
      <c r="A85" s="53"/>
    </row>
    <row r="86" spans="1:5" s="2" customFormat="1" ht="15">
      <c r="A86" s="226" t="s">
        <v>47</v>
      </c>
      <c r="B86" s="226"/>
      <c r="E86" s="2" t="s">
        <v>12</v>
      </c>
    </row>
    <row r="87" spans="1:5" s="2" customFormat="1" ht="15">
      <c r="A87" s="226" t="s">
        <v>1</v>
      </c>
      <c r="B87" s="226"/>
      <c r="E87" s="2" t="s">
        <v>158</v>
      </c>
    </row>
    <row r="88" spans="1:5" s="2" customFormat="1" ht="30" customHeight="1">
      <c r="A88" s="214" t="s">
        <v>73</v>
      </c>
      <c r="B88" s="214"/>
      <c r="C88" s="22"/>
      <c r="E88" s="2" t="s">
        <v>15</v>
      </c>
    </row>
    <row r="89" s="2" customFormat="1" ht="15">
      <c r="A89" s="53"/>
    </row>
    <row r="90" s="2" customFormat="1" ht="15">
      <c r="A90" s="53"/>
    </row>
    <row r="91" s="2" customFormat="1" ht="15">
      <c r="A91" s="53"/>
    </row>
    <row r="92" s="2" customFormat="1" ht="15">
      <c r="A92" s="53"/>
    </row>
  </sheetData>
  <sheetProtection/>
  <mergeCells count="17">
    <mergeCell ref="A38:C38"/>
    <mergeCell ref="F50:G50"/>
    <mergeCell ref="A67:G67"/>
    <mergeCell ref="A86:B86"/>
    <mergeCell ref="A40:H40"/>
    <mergeCell ref="A47:C47"/>
    <mergeCell ref="A49:G49"/>
    <mergeCell ref="A1:B1"/>
    <mergeCell ref="A3:E3"/>
    <mergeCell ref="A5:H5"/>
    <mergeCell ref="A6:H6"/>
    <mergeCell ref="A88:B88"/>
    <mergeCell ref="A75:C75"/>
    <mergeCell ref="A81:D81"/>
    <mergeCell ref="F68:G68"/>
    <mergeCell ref="E81:G81"/>
    <mergeCell ref="A87:B87"/>
  </mergeCells>
  <printOptions/>
  <pageMargins left="0.39" right="0.24" top="0.5" bottom="0.36" header="0.5" footer="0.2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49">
      <selection activeCell="E66" sqref="E66"/>
    </sheetView>
  </sheetViews>
  <sheetFormatPr defaultColWidth="9.140625" defaultRowHeight="15"/>
  <cols>
    <col min="1" max="1" width="5.140625" style="57" customWidth="1"/>
    <col min="2" max="2" width="34.140625" style="14" customWidth="1"/>
    <col min="3" max="3" width="7.00390625" style="14" customWidth="1"/>
    <col min="4" max="4" width="5.00390625" style="14" customWidth="1"/>
    <col min="5" max="5" width="11.421875" style="14" customWidth="1"/>
    <col min="6" max="6" width="10.57421875" style="14" customWidth="1"/>
    <col min="7" max="7" width="11.8515625" style="14" customWidth="1"/>
    <col min="8" max="8" width="10.00390625" style="14" customWidth="1"/>
    <col min="9" max="16384" width="9.140625" style="14" customWidth="1"/>
  </cols>
  <sheetData>
    <row r="1" spans="1:5" s="2" customFormat="1" ht="15">
      <c r="A1" s="230" t="s">
        <v>0</v>
      </c>
      <c r="B1" s="230"/>
      <c r="C1" s="1" t="s">
        <v>158</v>
      </c>
      <c r="D1" s="1"/>
      <c r="E1" s="1"/>
    </row>
    <row r="2" spans="1:5" s="2" customFormat="1" ht="15">
      <c r="A2" s="60"/>
      <c r="B2" s="60"/>
      <c r="C2" s="1"/>
      <c r="D2" s="1"/>
      <c r="E2" s="1"/>
    </row>
    <row r="3" spans="1:7" s="2" customFormat="1" ht="15">
      <c r="A3" s="230" t="s">
        <v>8</v>
      </c>
      <c r="B3" s="230"/>
      <c r="C3" s="230"/>
      <c r="D3" s="230"/>
      <c r="E3" s="230"/>
      <c r="F3" s="3" t="s">
        <v>49</v>
      </c>
      <c r="G3" s="1"/>
    </row>
    <row r="4" s="2" customFormat="1" ht="15">
      <c r="A4" s="53"/>
    </row>
    <row r="5" spans="1:8" s="2" customFormat="1" ht="18.75">
      <c r="A5" s="231" t="s">
        <v>170</v>
      </c>
      <c r="B5" s="231"/>
      <c r="C5" s="231"/>
      <c r="D5" s="231"/>
      <c r="E5" s="231"/>
      <c r="F5" s="231"/>
      <c r="G5" s="231"/>
      <c r="H5" s="231"/>
    </row>
    <row r="6" spans="1:8" s="2" customFormat="1" ht="15">
      <c r="A6" s="214" t="s">
        <v>149</v>
      </c>
      <c r="B6" s="214"/>
      <c r="C6" s="214"/>
      <c r="D6" s="214"/>
      <c r="E6" s="214"/>
      <c r="F6" s="214"/>
      <c r="G6" s="214"/>
      <c r="H6" s="214"/>
    </row>
    <row r="7" spans="1:6" s="2" customFormat="1" ht="15">
      <c r="A7" s="53"/>
      <c r="B7" s="4" t="s">
        <v>2</v>
      </c>
      <c r="C7" s="4"/>
      <c r="D7" s="5" t="s">
        <v>171</v>
      </c>
      <c r="E7" s="4"/>
      <c r="F7" s="4"/>
    </row>
    <row r="8" s="2" customFormat="1" ht="7.5" customHeight="1">
      <c r="A8" s="53"/>
    </row>
    <row r="9" spans="1:9" s="2" customFormat="1" ht="15">
      <c r="A9" s="148" t="s">
        <v>23</v>
      </c>
      <c r="B9" s="148"/>
      <c r="C9" s="148"/>
      <c r="D9" s="148"/>
      <c r="E9" s="148"/>
      <c r="F9" s="148"/>
      <c r="G9" s="148"/>
      <c r="H9" s="7" t="s">
        <v>50</v>
      </c>
      <c r="I9" s="7"/>
    </row>
    <row r="10" spans="1:12" s="2" customFormat="1" ht="37.5" customHeight="1">
      <c r="A10" s="17" t="s">
        <v>3</v>
      </c>
      <c r="B10" s="15" t="s">
        <v>40</v>
      </c>
      <c r="C10" s="15" t="s">
        <v>5</v>
      </c>
      <c r="D10" s="15" t="s">
        <v>6</v>
      </c>
      <c r="E10" s="16" t="s">
        <v>17</v>
      </c>
      <c r="F10" s="16" t="s">
        <v>39</v>
      </c>
      <c r="G10" s="15" t="s">
        <v>18</v>
      </c>
      <c r="H10" s="15" t="s">
        <v>7</v>
      </c>
      <c r="L10" s="6"/>
    </row>
    <row r="11" spans="1:8" s="2" customFormat="1" ht="28.5" customHeight="1">
      <c r="A11" s="17" t="s">
        <v>24</v>
      </c>
      <c r="B11" s="18" t="s">
        <v>13</v>
      </c>
      <c r="C11" s="15" t="s">
        <v>16</v>
      </c>
      <c r="D11" s="19">
        <v>1</v>
      </c>
      <c r="E11" s="23"/>
      <c r="F11" s="23"/>
      <c r="G11" s="23">
        <f aca="true" t="shared" si="0" ref="G11:G23">E11+F11</f>
        <v>0</v>
      </c>
      <c r="H11" s="19"/>
    </row>
    <row r="12" spans="1:8" s="2" customFormat="1" ht="28.5" customHeight="1">
      <c r="A12" s="17" t="s">
        <v>25</v>
      </c>
      <c r="B12" s="18" t="s">
        <v>14</v>
      </c>
      <c r="C12" s="15" t="s">
        <v>16</v>
      </c>
      <c r="D12" s="19">
        <v>1</v>
      </c>
      <c r="E12" s="23"/>
      <c r="F12" s="23"/>
      <c r="G12" s="23">
        <f t="shared" si="0"/>
        <v>0</v>
      </c>
      <c r="H12" s="19"/>
    </row>
    <row r="13" spans="1:8" s="2" customFormat="1" ht="28.5" customHeight="1">
      <c r="A13" s="17" t="s">
        <v>26</v>
      </c>
      <c r="B13" s="18" t="s">
        <v>22</v>
      </c>
      <c r="C13" s="15" t="s">
        <v>16</v>
      </c>
      <c r="D13" s="19">
        <v>1</v>
      </c>
      <c r="E13" s="23">
        <v>0</v>
      </c>
      <c r="F13" s="23"/>
      <c r="G13" s="23">
        <f t="shared" si="0"/>
        <v>0</v>
      </c>
      <c r="H13" s="19"/>
    </row>
    <row r="14" spans="1:8" s="2" customFormat="1" ht="15">
      <c r="A14" s="17" t="s">
        <v>27</v>
      </c>
      <c r="B14" s="155" t="s">
        <v>129</v>
      </c>
      <c r="C14" s="158"/>
      <c r="D14" s="158"/>
      <c r="E14" s="158"/>
      <c r="F14" s="158"/>
      <c r="G14" s="23">
        <f t="shared" si="0"/>
        <v>0</v>
      </c>
      <c r="H14" s="19"/>
    </row>
    <row r="15" spans="1:8" s="2" customFormat="1" ht="15">
      <c r="A15" s="17" t="s">
        <v>28</v>
      </c>
      <c r="B15" s="18" t="s">
        <v>21</v>
      </c>
      <c r="C15" s="15" t="s">
        <v>16</v>
      </c>
      <c r="D15" s="19">
        <v>1</v>
      </c>
      <c r="E15" s="24"/>
      <c r="F15" s="23"/>
      <c r="G15" s="23">
        <f t="shared" si="0"/>
        <v>0</v>
      </c>
      <c r="H15" s="19"/>
    </row>
    <row r="16" spans="1:11" s="2" customFormat="1" ht="15">
      <c r="A16" s="17" t="s">
        <v>29</v>
      </c>
      <c r="B16" s="18" t="s">
        <v>19</v>
      </c>
      <c r="C16" s="15" t="s">
        <v>16</v>
      </c>
      <c r="D16" s="19">
        <v>1</v>
      </c>
      <c r="E16" s="20"/>
      <c r="F16" s="23"/>
      <c r="G16" s="23">
        <f t="shared" si="0"/>
        <v>0</v>
      </c>
      <c r="H16" s="19"/>
      <c r="K16" s="2" t="s">
        <v>97</v>
      </c>
    </row>
    <row r="17" spans="1:8" s="2" customFormat="1" ht="15">
      <c r="A17" s="17" t="s">
        <v>30</v>
      </c>
      <c r="B17" s="18" t="s">
        <v>20</v>
      </c>
      <c r="C17" s="15" t="s">
        <v>16</v>
      </c>
      <c r="D17" s="19">
        <v>1</v>
      </c>
      <c r="E17" s="23"/>
      <c r="F17" s="23"/>
      <c r="G17" s="23">
        <f t="shared" si="0"/>
        <v>0</v>
      </c>
      <c r="H17" s="19"/>
    </row>
    <row r="18" spans="1:8" s="2" customFormat="1" ht="15">
      <c r="A18" s="17" t="s">
        <v>31</v>
      </c>
      <c r="B18" s="18" t="s">
        <v>51</v>
      </c>
      <c r="C18" s="15" t="s">
        <v>16</v>
      </c>
      <c r="D18" s="19">
        <v>1</v>
      </c>
      <c r="E18" s="23"/>
      <c r="F18" s="23"/>
      <c r="G18" s="23">
        <f t="shared" si="0"/>
        <v>0</v>
      </c>
      <c r="H18" s="19"/>
    </row>
    <row r="19" spans="1:8" s="2" customFormat="1" ht="15">
      <c r="A19" s="17" t="s">
        <v>134</v>
      </c>
      <c r="B19" s="18" t="s">
        <v>52</v>
      </c>
      <c r="C19" s="15" t="s">
        <v>16</v>
      </c>
      <c r="D19" s="19">
        <v>1</v>
      </c>
      <c r="E19" s="23"/>
      <c r="F19" s="23"/>
      <c r="G19" s="23">
        <f t="shared" si="0"/>
        <v>0</v>
      </c>
      <c r="H19" s="19"/>
    </row>
    <row r="20" spans="1:8" s="2" customFormat="1" ht="15">
      <c r="A20" s="17" t="s">
        <v>135</v>
      </c>
      <c r="B20" s="33" t="s">
        <v>105</v>
      </c>
      <c r="C20" s="15" t="s">
        <v>16</v>
      </c>
      <c r="D20" s="19">
        <v>1</v>
      </c>
      <c r="E20" s="23"/>
      <c r="F20" s="23"/>
      <c r="G20" s="23">
        <f t="shared" si="0"/>
        <v>0</v>
      </c>
      <c r="H20" s="19"/>
    </row>
    <row r="21" spans="1:8" s="2" customFormat="1" ht="15">
      <c r="A21" s="17" t="s">
        <v>189</v>
      </c>
      <c r="B21" s="33" t="s">
        <v>106</v>
      </c>
      <c r="C21" s="15" t="s">
        <v>16</v>
      </c>
      <c r="D21" s="19">
        <v>1</v>
      </c>
      <c r="E21" s="23"/>
      <c r="F21" s="23"/>
      <c r="G21" s="23">
        <f t="shared" si="0"/>
        <v>0</v>
      </c>
      <c r="H21" s="19"/>
    </row>
    <row r="22" spans="1:8" s="2" customFormat="1" ht="15">
      <c r="A22" s="17" t="s">
        <v>190</v>
      </c>
      <c r="B22" s="33" t="s">
        <v>109</v>
      </c>
      <c r="C22" s="15" t="s">
        <v>16</v>
      </c>
      <c r="D22" s="19">
        <v>1</v>
      </c>
      <c r="E22" s="23"/>
      <c r="F22" s="23"/>
      <c r="G22" s="23">
        <f t="shared" si="0"/>
        <v>0</v>
      </c>
      <c r="H22" s="19"/>
    </row>
    <row r="23" spans="1:8" s="2" customFormat="1" ht="15">
      <c r="A23" s="17" t="s">
        <v>191</v>
      </c>
      <c r="B23" s="33" t="s">
        <v>107</v>
      </c>
      <c r="C23" s="15" t="s">
        <v>16</v>
      </c>
      <c r="D23" s="19">
        <v>1</v>
      </c>
      <c r="E23" s="23"/>
      <c r="F23" s="23"/>
      <c r="G23" s="23">
        <f t="shared" si="0"/>
        <v>0</v>
      </c>
      <c r="H23" s="19"/>
    </row>
    <row r="24" spans="1:8" s="2" customFormat="1" ht="15">
      <c r="A24" s="17" t="s">
        <v>192</v>
      </c>
      <c r="B24" s="18" t="s">
        <v>48</v>
      </c>
      <c r="C24" s="15"/>
      <c r="D24" s="19"/>
      <c r="E24" s="23">
        <f>E25+E26</f>
        <v>0</v>
      </c>
      <c r="F24" s="23">
        <f>F25+F26</f>
        <v>0</v>
      </c>
      <c r="G24" s="23">
        <f>G25+G26</f>
        <v>0</v>
      </c>
      <c r="H24" s="19"/>
    </row>
    <row r="25" spans="1:8" s="4" customFormat="1" ht="15">
      <c r="A25" s="55"/>
      <c r="B25" s="34"/>
      <c r="C25" s="160"/>
      <c r="D25" s="35"/>
      <c r="E25" s="36"/>
      <c r="F25" s="36"/>
      <c r="G25" s="36">
        <f>E25+F25</f>
        <v>0</v>
      </c>
      <c r="H25" s="35"/>
    </row>
    <row r="26" spans="1:8" s="4" customFormat="1" ht="15">
      <c r="A26" s="55"/>
      <c r="B26" s="34"/>
      <c r="C26" s="160" t="s">
        <v>9</v>
      </c>
      <c r="D26" s="35"/>
      <c r="E26" s="161"/>
      <c r="F26" s="36"/>
      <c r="G26" s="36">
        <f>E26+F26</f>
        <v>0</v>
      </c>
      <c r="H26" s="35"/>
    </row>
    <row r="27" spans="1:8" s="2" customFormat="1" ht="17.25" customHeight="1">
      <c r="A27" s="61" t="s">
        <v>33</v>
      </c>
      <c r="B27" s="62"/>
      <c r="C27" s="170"/>
      <c r="D27" s="135"/>
      <c r="E27" s="171">
        <f>E11+E12+E13+E14+E15+E16+E17+E18+E19+E24+E20+E21+E22+E23</f>
        <v>0</v>
      </c>
      <c r="F27" s="171">
        <f>F11+F12+F13+F14+F15+F16+F17+F18+F19+F24+F20+F21+F22+F23</f>
        <v>0</v>
      </c>
      <c r="G27" s="171">
        <f>G11+G12+G13+G14+G15+G16+G17+G18+G19+G24+G20+G21+G22+G23</f>
        <v>0</v>
      </c>
      <c r="H27" s="41"/>
    </row>
    <row r="28" s="2" customFormat="1" ht="8.25" customHeight="1">
      <c r="A28" s="53"/>
    </row>
    <row r="29" spans="1:8" s="2" customFormat="1" ht="15">
      <c r="A29" s="148" t="s">
        <v>32</v>
      </c>
      <c r="B29" s="148"/>
      <c r="C29" s="148"/>
      <c r="D29" s="148"/>
      <c r="E29" s="148"/>
      <c r="F29" s="148"/>
      <c r="G29" s="148"/>
      <c r="H29" s="148"/>
    </row>
    <row r="30" spans="1:8" s="2" customFormat="1" ht="36.75" customHeight="1">
      <c r="A30" s="17" t="s">
        <v>3</v>
      </c>
      <c r="B30" s="15" t="s">
        <v>40</v>
      </c>
      <c r="C30" s="15" t="s">
        <v>5</v>
      </c>
      <c r="D30" s="15" t="s">
        <v>6</v>
      </c>
      <c r="E30" s="16" t="s">
        <v>17</v>
      </c>
      <c r="F30" s="16" t="s">
        <v>39</v>
      </c>
      <c r="G30" s="15" t="s">
        <v>18</v>
      </c>
      <c r="H30" s="15" t="s">
        <v>7</v>
      </c>
    </row>
    <row r="31" spans="1:8" s="2" customFormat="1" ht="25.5" customHeight="1">
      <c r="A31" s="17" t="s">
        <v>34</v>
      </c>
      <c r="B31" s="18" t="s">
        <v>150</v>
      </c>
      <c r="C31" s="15" t="s">
        <v>16</v>
      </c>
      <c r="D31" s="19">
        <v>1</v>
      </c>
      <c r="E31" s="23"/>
      <c r="F31" s="23"/>
      <c r="G31" s="23">
        <f aca="true" t="shared" si="1" ref="G31:G37">E31+F31</f>
        <v>0</v>
      </c>
      <c r="H31" s="19"/>
    </row>
    <row r="32" spans="1:8" s="2" customFormat="1" ht="26.25" customHeight="1">
      <c r="A32" s="17" t="s">
        <v>35</v>
      </c>
      <c r="B32" s="18" t="s">
        <v>151</v>
      </c>
      <c r="C32" s="15" t="s">
        <v>16</v>
      </c>
      <c r="D32" s="19">
        <v>1</v>
      </c>
      <c r="E32" s="23"/>
      <c r="F32" s="23"/>
      <c r="G32" s="23">
        <f t="shared" si="1"/>
        <v>0</v>
      </c>
      <c r="H32" s="19"/>
    </row>
    <row r="33" spans="1:8" s="2" customFormat="1" ht="15">
      <c r="A33" s="17" t="s">
        <v>36</v>
      </c>
      <c r="B33" s="155" t="s">
        <v>129</v>
      </c>
      <c r="C33" s="15"/>
      <c r="D33" s="19"/>
      <c r="E33" s="23"/>
      <c r="F33" s="23"/>
      <c r="G33" s="23">
        <f t="shared" si="1"/>
        <v>0</v>
      </c>
      <c r="H33" s="19"/>
    </row>
    <row r="34" spans="1:8" s="2" customFormat="1" ht="15">
      <c r="A34" s="17" t="s">
        <v>37</v>
      </c>
      <c r="B34" s="18" t="s">
        <v>53</v>
      </c>
      <c r="C34" s="15" t="s">
        <v>16</v>
      </c>
      <c r="D34" s="19">
        <v>1</v>
      </c>
      <c r="E34" s="23"/>
      <c r="F34" s="23"/>
      <c r="G34" s="23">
        <f t="shared" si="1"/>
        <v>0</v>
      </c>
      <c r="H34" s="19"/>
    </row>
    <row r="35" spans="1:8" s="2" customFormat="1" ht="15">
      <c r="A35" s="17" t="s">
        <v>137</v>
      </c>
      <c r="B35" s="18" t="s">
        <v>48</v>
      </c>
      <c r="C35" s="15" t="s">
        <v>9</v>
      </c>
      <c r="D35" s="19">
        <v>1</v>
      </c>
      <c r="E35" s="23">
        <f>E36+E37</f>
        <v>0</v>
      </c>
      <c r="F35" s="23">
        <f>F36+F37</f>
        <v>0</v>
      </c>
      <c r="G35" s="23">
        <f t="shared" si="1"/>
        <v>0</v>
      </c>
      <c r="H35" s="19"/>
    </row>
    <row r="36" spans="1:8" s="4" customFormat="1" ht="15">
      <c r="A36" s="55"/>
      <c r="B36" s="34"/>
      <c r="C36" s="160"/>
      <c r="D36" s="35"/>
      <c r="E36" s="36"/>
      <c r="F36" s="36"/>
      <c r="G36" s="36">
        <f t="shared" si="1"/>
        <v>0</v>
      </c>
      <c r="H36" s="35"/>
    </row>
    <row r="37" spans="1:9" s="4" customFormat="1" ht="15">
      <c r="A37" s="55"/>
      <c r="B37" s="34"/>
      <c r="C37" s="160"/>
      <c r="D37" s="35"/>
      <c r="E37" s="36"/>
      <c r="F37" s="36"/>
      <c r="G37" s="36">
        <f t="shared" si="1"/>
        <v>0</v>
      </c>
      <c r="H37" s="35"/>
      <c r="I37" s="4" t="s">
        <v>97</v>
      </c>
    </row>
    <row r="38" spans="1:8" s="2" customFormat="1" ht="15">
      <c r="A38" s="227" t="s">
        <v>10</v>
      </c>
      <c r="B38" s="228"/>
      <c r="C38" s="229"/>
      <c r="D38" s="41"/>
      <c r="E38" s="171">
        <f>E31+E32+E33+E34+E35</f>
        <v>0</v>
      </c>
      <c r="F38" s="171">
        <f>F31+F32+F33+F34+F35</f>
        <v>0</v>
      </c>
      <c r="G38" s="171">
        <f>G31+G32+G33+G34+G35</f>
        <v>0</v>
      </c>
      <c r="H38" s="41"/>
    </row>
    <row r="39" s="2" customFormat="1" ht="9.75" customHeight="1">
      <c r="A39" s="53"/>
    </row>
    <row r="40" spans="1:8" s="2" customFormat="1" ht="15">
      <c r="A40" s="219" t="s">
        <v>38</v>
      </c>
      <c r="B40" s="219"/>
      <c r="C40" s="219"/>
      <c r="D40" s="219"/>
      <c r="E40" s="219"/>
      <c r="F40" s="219"/>
      <c r="G40" s="219"/>
      <c r="H40" s="219"/>
    </row>
    <row r="41" spans="1:8" s="2" customFormat="1" ht="36" customHeight="1">
      <c r="A41" s="17" t="s">
        <v>3</v>
      </c>
      <c r="B41" s="15" t="s">
        <v>40</v>
      </c>
      <c r="C41" s="15" t="s">
        <v>5</v>
      </c>
      <c r="D41" s="15" t="s">
        <v>6</v>
      </c>
      <c r="E41" s="16" t="s">
        <v>17</v>
      </c>
      <c r="F41" s="16" t="s">
        <v>39</v>
      </c>
      <c r="G41" s="15" t="s">
        <v>18</v>
      </c>
      <c r="H41" s="15" t="s">
        <v>7</v>
      </c>
    </row>
    <row r="42" spans="1:8" s="2" customFormat="1" ht="26.25" customHeight="1">
      <c r="A42" s="17" t="s">
        <v>42</v>
      </c>
      <c r="B42" s="18" t="s">
        <v>153</v>
      </c>
      <c r="C42" s="15" t="s">
        <v>16</v>
      </c>
      <c r="D42" s="15">
        <v>1</v>
      </c>
      <c r="E42" s="25"/>
      <c r="F42" s="25"/>
      <c r="G42" s="26">
        <f>E42+F42</f>
        <v>0</v>
      </c>
      <c r="H42" s="19"/>
    </row>
    <row r="43" spans="1:8" s="2" customFormat="1" ht="15">
      <c r="A43" s="17"/>
      <c r="B43" s="155" t="s">
        <v>129</v>
      </c>
      <c r="C43" s="15"/>
      <c r="D43" s="15"/>
      <c r="E43" s="25"/>
      <c r="F43" s="25"/>
      <c r="G43" s="26">
        <f>E43+F43</f>
        <v>0</v>
      </c>
      <c r="H43" s="19"/>
    </row>
    <row r="44" spans="1:8" s="2" customFormat="1" ht="15">
      <c r="A44" s="17" t="s">
        <v>43</v>
      </c>
      <c r="B44" s="18" t="s">
        <v>48</v>
      </c>
      <c r="C44" s="15"/>
      <c r="D44" s="15"/>
      <c r="E44" s="25"/>
      <c r="F44" s="25"/>
      <c r="G44" s="26">
        <f>E44+F44</f>
        <v>0</v>
      </c>
      <c r="H44" s="19"/>
    </row>
    <row r="45" spans="1:11" s="2" customFormat="1" ht="15">
      <c r="A45" s="17"/>
      <c r="B45" s="18"/>
      <c r="C45" s="15"/>
      <c r="D45" s="19"/>
      <c r="E45" s="23"/>
      <c r="F45" s="26"/>
      <c r="G45" s="37">
        <f>E45+F45</f>
        <v>0</v>
      </c>
      <c r="H45" s="19"/>
      <c r="K45" s="12">
        <f>F27+F38+F47</f>
        <v>0</v>
      </c>
    </row>
    <row r="46" spans="1:8" s="2" customFormat="1" ht="15">
      <c r="A46" s="17"/>
      <c r="B46" s="18"/>
      <c r="C46" s="19"/>
      <c r="D46" s="19"/>
      <c r="E46" s="23"/>
      <c r="F46" s="26"/>
      <c r="G46" s="37">
        <f>E46+F46</f>
        <v>0</v>
      </c>
      <c r="H46" s="19"/>
    </row>
    <row r="47" spans="1:8" s="2" customFormat="1" ht="15">
      <c r="A47" s="211" t="s">
        <v>41</v>
      </c>
      <c r="B47" s="212"/>
      <c r="C47" s="213"/>
      <c r="D47" s="41"/>
      <c r="E47" s="42">
        <f>SUM(E42:E46)</f>
        <v>0</v>
      </c>
      <c r="F47" s="44">
        <f>SUM(F42:F44)</f>
        <v>0</v>
      </c>
      <c r="G47" s="42">
        <f>SUM(G42:G46)</f>
        <v>0</v>
      </c>
      <c r="H47" s="41"/>
    </row>
    <row r="48" spans="1:8" s="2" customFormat="1" ht="7.5" customHeight="1">
      <c r="A48" s="54"/>
      <c r="B48" s="8"/>
      <c r="C48" s="8"/>
      <c r="D48" s="9"/>
      <c r="E48" s="9"/>
      <c r="F48" s="10"/>
      <c r="G48" s="9"/>
      <c r="H48" s="11"/>
    </row>
    <row r="49" spans="1:8" s="7" customFormat="1" ht="15" customHeight="1">
      <c r="A49" s="219" t="s">
        <v>154</v>
      </c>
      <c r="B49" s="219"/>
      <c r="C49" s="219"/>
      <c r="D49" s="219"/>
      <c r="E49" s="219"/>
      <c r="F49" s="219"/>
      <c r="G49" s="219"/>
      <c r="H49" s="58"/>
    </row>
    <row r="50" spans="1:7" s="2" customFormat="1" ht="24.75">
      <c r="A50" s="17" t="s">
        <v>3</v>
      </c>
      <c r="B50" s="15" t="s">
        <v>4</v>
      </c>
      <c r="C50" s="15" t="s">
        <v>5</v>
      </c>
      <c r="D50" s="15" t="s">
        <v>6</v>
      </c>
      <c r="E50" s="16" t="s">
        <v>45</v>
      </c>
      <c r="F50" s="220" t="s">
        <v>46</v>
      </c>
      <c r="G50" s="221"/>
    </row>
    <row r="51" spans="1:7" s="2" customFormat="1" ht="25.5" customHeight="1">
      <c r="A51" s="17" t="s">
        <v>67</v>
      </c>
      <c r="B51" s="27" t="s">
        <v>152</v>
      </c>
      <c r="C51" s="29" t="s">
        <v>16</v>
      </c>
      <c r="D51" s="28">
        <v>1</v>
      </c>
      <c r="E51" s="30"/>
      <c r="F51" s="30"/>
      <c r="G51" s="30"/>
    </row>
    <row r="52" spans="1:7" s="2" customFormat="1" ht="15">
      <c r="A52" s="17" t="s">
        <v>68</v>
      </c>
      <c r="B52" s="28" t="s">
        <v>54</v>
      </c>
      <c r="C52" s="29" t="s">
        <v>16</v>
      </c>
      <c r="D52" s="28">
        <v>1</v>
      </c>
      <c r="E52" s="30"/>
      <c r="F52" s="30"/>
      <c r="G52" s="30"/>
    </row>
    <row r="53" spans="1:7" s="2" customFormat="1" ht="15">
      <c r="A53" s="17" t="s">
        <v>69</v>
      </c>
      <c r="B53" s="28" t="s">
        <v>55</v>
      </c>
      <c r="C53" s="29" t="s">
        <v>16</v>
      </c>
      <c r="D53" s="28">
        <v>1</v>
      </c>
      <c r="E53" s="30"/>
      <c r="F53" s="30"/>
      <c r="G53" s="30"/>
    </row>
    <row r="54" spans="1:7" s="2" customFormat="1" ht="15">
      <c r="A54" s="17" t="s">
        <v>70</v>
      </c>
      <c r="B54" s="28" t="s">
        <v>56</v>
      </c>
      <c r="C54" s="29" t="s">
        <v>16</v>
      </c>
      <c r="D54" s="28">
        <v>1</v>
      </c>
      <c r="E54" s="30"/>
      <c r="F54" s="30"/>
      <c r="G54" s="30"/>
    </row>
    <row r="55" spans="1:7" s="2" customFormat="1" ht="15">
      <c r="A55" s="17" t="s">
        <v>72</v>
      </c>
      <c r="B55" s="18" t="s">
        <v>75</v>
      </c>
      <c r="C55" s="29" t="s">
        <v>16</v>
      </c>
      <c r="D55" s="28">
        <v>1</v>
      </c>
      <c r="E55" s="30">
        <f>E56+E57+E58+E59+E60+E61+E62+E63+E64</f>
        <v>0</v>
      </c>
      <c r="F55" s="30"/>
      <c r="G55" s="30"/>
    </row>
    <row r="56" spans="1:7" s="4" customFormat="1" ht="15">
      <c r="A56" s="55"/>
      <c r="B56" s="34" t="s">
        <v>64</v>
      </c>
      <c r="C56" s="29" t="s">
        <v>16</v>
      </c>
      <c r="D56" s="28">
        <v>1</v>
      </c>
      <c r="E56" s="36"/>
      <c r="F56" s="37"/>
      <c r="G56" s="36"/>
    </row>
    <row r="57" spans="1:11" s="4" customFormat="1" ht="15">
      <c r="A57" s="55"/>
      <c r="B57" s="34" t="s">
        <v>65</v>
      </c>
      <c r="C57" s="29" t="s">
        <v>16</v>
      </c>
      <c r="D57" s="28">
        <v>1</v>
      </c>
      <c r="E57" s="36"/>
      <c r="F57" s="37"/>
      <c r="G57" s="36"/>
      <c r="J57" s="38"/>
      <c r="K57" s="39"/>
    </row>
    <row r="58" spans="1:7" s="4" customFormat="1" ht="24.75">
      <c r="A58" s="55"/>
      <c r="B58" s="34" t="s">
        <v>66</v>
      </c>
      <c r="C58" s="29" t="s">
        <v>16</v>
      </c>
      <c r="D58" s="28">
        <v>1</v>
      </c>
      <c r="E58" s="36"/>
      <c r="F58" s="37"/>
      <c r="G58" s="36"/>
    </row>
    <row r="59" spans="1:7" s="4" customFormat="1" ht="15">
      <c r="A59" s="55"/>
      <c r="B59" s="34" t="s">
        <v>71</v>
      </c>
      <c r="C59" s="29" t="s">
        <v>16</v>
      </c>
      <c r="D59" s="28">
        <v>1</v>
      </c>
      <c r="E59" s="35"/>
      <c r="F59" s="40"/>
      <c r="G59" s="35"/>
    </row>
    <row r="60" spans="1:7" s="4" customFormat="1" ht="15">
      <c r="A60" s="55"/>
      <c r="B60" s="34" t="s">
        <v>76</v>
      </c>
      <c r="C60" s="29" t="s">
        <v>16</v>
      </c>
      <c r="D60" s="28">
        <v>1</v>
      </c>
      <c r="E60" s="35"/>
      <c r="F60" s="40"/>
      <c r="G60" s="35"/>
    </row>
    <row r="61" spans="1:7" s="4" customFormat="1" ht="15">
      <c r="A61" s="55"/>
      <c r="B61" s="34" t="s">
        <v>74</v>
      </c>
      <c r="C61" s="29" t="s">
        <v>16</v>
      </c>
      <c r="D61" s="28">
        <v>1</v>
      </c>
      <c r="E61" s="35"/>
      <c r="F61" s="40"/>
      <c r="G61" s="35"/>
    </row>
    <row r="62" spans="1:7" s="4" customFormat="1" ht="15">
      <c r="A62" s="55"/>
      <c r="B62" s="34" t="s">
        <v>77</v>
      </c>
      <c r="C62" s="29" t="s">
        <v>16</v>
      </c>
      <c r="D62" s="28">
        <v>1</v>
      </c>
      <c r="E62" s="35"/>
      <c r="F62" s="40"/>
      <c r="G62" s="35"/>
    </row>
    <row r="63" spans="1:7" s="4" customFormat="1" ht="15">
      <c r="A63" s="55"/>
      <c r="B63" s="34" t="s">
        <v>78</v>
      </c>
      <c r="C63" s="29" t="s">
        <v>16</v>
      </c>
      <c r="D63" s="28">
        <v>1</v>
      </c>
      <c r="E63" s="35"/>
      <c r="F63" s="40"/>
      <c r="G63" s="35"/>
    </row>
    <row r="64" spans="1:9" s="4" customFormat="1" ht="15">
      <c r="A64" s="55"/>
      <c r="B64" s="34"/>
      <c r="C64" s="35"/>
      <c r="D64" s="35"/>
      <c r="E64" s="35"/>
      <c r="F64" s="40"/>
      <c r="G64" s="35"/>
      <c r="I64" s="39"/>
    </row>
    <row r="65" spans="1:7" s="2" customFormat="1" ht="15">
      <c r="A65" s="180" t="s">
        <v>155</v>
      </c>
      <c r="B65" s="181"/>
      <c r="C65" s="182"/>
      <c r="D65" s="41"/>
      <c r="E65" s="42">
        <f>E51+E52+E53+E54+E55</f>
        <v>0</v>
      </c>
      <c r="F65" s="43"/>
      <c r="G65" s="41"/>
    </row>
    <row r="66" spans="1:7" s="52" customFormat="1" ht="25.5">
      <c r="A66" s="56" t="s">
        <v>156</v>
      </c>
      <c r="B66" s="47" t="s">
        <v>57</v>
      </c>
      <c r="C66" s="48" t="s">
        <v>16</v>
      </c>
      <c r="D66" s="49">
        <v>1</v>
      </c>
      <c r="E66" s="51"/>
      <c r="F66" s="50"/>
      <c r="G66" s="51"/>
    </row>
    <row r="67" spans="1:7" s="46" customFormat="1" ht="15" customHeight="1">
      <c r="A67" s="222" t="s">
        <v>157</v>
      </c>
      <c r="B67" s="223"/>
      <c r="C67" s="223"/>
      <c r="D67" s="223"/>
      <c r="E67" s="223"/>
      <c r="F67" s="223"/>
      <c r="G67" s="224"/>
    </row>
    <row r="68" spans="1:7" s="2" customFormat="1" ht="33.75" customHeight="1">
      <c r="A68" s="17" t="s">
        <v>3</v>
      </c>
      <c r="B68" s="15" t="s">
        <v>4</v>
      </c>
      <c r="C68" s="15" t="s">
        <v>5</v>
      </c>
      <c r="D68" s="15" t="s">
        <v>6</v>
      </c>
      <c r="E68" s="16" t="s">
        <v>45</v>
      </c>
      <c r="F68" s="220" t="s">
        <v>46</v>
      </c>
      <c r="G68" s="221"/>
    </row>
    <row r="69" spans="1:7" s="2" customFormat="1" ht="25.5" customHeight="1">
      <c r="A69" s="17"/>
      <c r="B69" s="33" t="s">
        <v>58</v>
      </c>
      <c r="C69" s="29" t="s">
        <v>16</v>
      </c>
      <c r="D69" s="28">
        <v>1</v>
      </c>
      <c r="E69" s="30"/>
      <c r="F69" s="30"/>
      <c r="G69" s="30"/>
    </row>
    <row r="70" spans="1:7" s="2" customFormat="1" ht="15">
      <c r="A70" s="17"/>
      <c r="B70" s="33" t="s">
        <v>59</v>
      </c>
      <c r="C70" s="29" t="s">
        <v>16</v>
      </c>
      <c r="D70" s="28">
        <v>1</v>
      </c>
      <c r="E70" s="30"/>
      <c r="F70" s="30"/>
      <c r="G70" s="30"/>
    </row>
    <row r="71" spans="1:7" s="2" customFormat="1" ht="15">
      <c r="A71" s="17"/>
      <c r="B71" s="33" t="s">
        <v>60</v>
      </c>
      <c r="C71" s="29" t="s">
        <v>16</v>
      </c>
      <c r="D71" s="28">
        <v>1</v>
      </c>
      <c r="E71" s="30"/>
      <c r="F71" s="30"/>
      <c r="G71" s="30"/>
    </row>
    <row r="72" spans="1:7" s="2" customFormat="1" ht="15">
      <c r="A72" s="17"/>
      <c r="B72" s="33" t="s">
        <v>61</v>
      </c>
      <c r="C72" s="29" t="s">
        <v>16</v>
      </c>
      <c r="D72" s="28">
        <v>1</v>
      </c>
      <c r="E72" s="30"/>
      <c r="F72" s="30"/>
      <c r="G72" s="30"/>
    </row>
    <row r="73" spans="1:9" s="2" customFormat="1" ht="15">
      <c r="A73" s="17"/>
      <c r="B73" s="33" t="s">
        <v>62</v>
      </c>
      <c r="C73" s="29" t="s">
        <v>16</v>
      </c>
      <c r="D73" s="19">
        <v>1</v>
      </c>
      <c r="E73" s="30"/>
      <c r="F73" s="26"/>
      <c r="G73" s="23"/>
      <c r="I73" s="13">
        <f>E72+E73</f>
        <v>0</v>
      </c>
    </row>
    <row r="74" spans="1:7" s="2" customFormat="1" ht="15">
      <c r="A74" s="17"/>
      <c r="B74" s="18"/>
      <c r="C74" s="29"/>
      <c r="D74" s="28"/>
      <c r="E74" s="30"/>
      <c r="F74" s="30"/>
      <c r="G74" s="30"/>
    </row>
    <row r="75" spans="1:7" s="2" customFormat="1" ht="15">
      <c r="A75" s="215" t="s">
        <v>63</v>
      </c>
      <c r="B75" s="216"/>
      <c r="C75" s="217"/>
      <c r="D75" s="19"/>
      <c r="E75" s="30">
        <f>SUM(E69:E74)</f>
        <v>0</v>
      </c>
      <c r="F75" s="21"/>
      <c r="G75" s="19"/>
    </row>
    <row r="76" spans="1:7" s="2" customFormat="1" ht="15">
      <c r="A76" s="54"/>
      <c r="B76" s="8"/>
      <c r="C76" s="8"/>
      <c r="D76" s="31"/>
      <c r="E76" s="45"/>
      <c r="F76" s="32"/>
      <c r="G76" s="31"/>
    </row>
    <row r="77" spans="1:7" s="2" customFormat="1" ht="15">
      <c r="A77" s="54"/>
      <c r="B77" s="8"/>
      <c r="C77" s="8"/>
      <c r="D77" s="31"/>
      <c r="E77" s="45"/>
      <c r="F77" s="32"/>
      <c r="G77" s="31"/>
    </row>
    <row r="78" spans="1:7" s="2" customFormat="1" ht="15">
      <c r="A78" s="54"/>
      <c r="B78" s="8"/>
      <c r="C78" s="8"/>
      <c r="D78" s="31"/>
      <c r="E78" s="45"/>
      <c r="F78" s="32"/>
      <c r="G78" s="31"/>
    </row>
    <row r="79" spans="1:7" s="2" customFormat="1" ht="15">
      <c r="A79" s="54"/>
      <c r="B79" s="8"/>
      <c r="C79" s="8"/>
      <c r="D79" s="31"/>
      <c r="E79" s="45"/>
      <c r="F79" s="32"/>
      <c r="G79" s="31"/>
    </row>
    <row r="80" s="2" customFormat="1" ht="15">
      <c r="A80" s="53"/>
    </row>
    <row r="81" spans="1:7" s="2" customFormat="1" ht="15">
      <c r="A81" s="218" t="s">
        <v>11</v>
      </c>
      <c r="B81" s="218"/>
      <c r="C81" s="218"/>
      <c r="D81" s="218"/>
      <c r="E81" s="225">
        <f>G27+G38+G47+E65+E66+E75</f>
        <v>0</v>
      </c>
      <c r="F81" s="225"/>
      <c r="G81" s="225"/>
    </row>
    <row r="82" spans="1:7" s="2" customFormat="1" ht="15">
      <c r="A82" s="53"/>
      <c r="G82" s="13"/>
    </row>
    <row r="83" s="2" customFormat="1" ht="15">
      <c r="A83" s="53"/>
    </row>
    <row r="84" s="2" customFormat="1" ht="15">
      <c r="A84" s="53"/>
    </row>
    <row r="85" s="2" customFormat="1" ht="15">
      <c r="A85" s="53"/>
    </row>
    <row r="86" spans="1:5" s="2" customFormat="1" ht="15">
      <c r="A86" s="226" t="s">
        <v>47</v>
      </c>
      <c r="B86" s="226"/>
      <c r="E86" s="2" t="s">
        <v>12</v>
      </c>
    </row>
    <row r="87" spans="1:5" s="2" customFormat="1" ht="15">
      <c r="A87" s="226" t="s">
        <v>1</v>
      </c>
      <c r="B87" s="226"/>
      <c r="E87" s="2" t="s">
        <v>158</v>
      </c>
    </row>
    <row r="88" spans="1:5" s="2" customFormat="1" ht="30" customHeight="1">
      <c r="A88" s="214" t="s">
        <v>73</v>
      </c>
      <c r="B88" s="214"/>
      <c r="C88" s="22"/>
      <c r="E88" s="2" t="s">
        <v>15</v>
      </c>
    </row>
    <row r="89" s="2" customFormat="1" ht="15">
      <c r="A89" s="53"/>
    </row>
    <row r="90" s="2" customFormat="1" ht="15">
      <c r="A90" s="53"/>
    </row>
    <row r="91" s="2" customFormat="1" ht="15">
      <c r="A91" s="53"/>
    </row>
    <row r="92" s="2" customFormat="1" ht="15">
      <c r="A92" s="53"/>
    </row>
  </sheetData>
  <sheetProtection/>
  <mergeCells count="17">
    <mergeCell ref="A88:B88"/>
    <mergeCell ref="F68:G68"/>
    <mergeCell ref="A75:C75"/>
    <mergeCell ref="A81:D81"/>
    <mergeCell ref="E81:G81"/>
    <mergeCell ref="A86:B86"/>
    <mergeCell ref="A87:B87"/>
    <mergeCell ref="A47:C47"/>
    <mergeCell ref="A49:G49"/>
    <mergeCell ref="F50:G50"/>
    <mergeCell ref="A67:G67"/>
    <mergeCell ref="A38:C38"/>
    <mergeCell ref="A40:H40"/>
    <mergeCell ref="A1:B1"/>
    <mergeCell ref="A3:E3"/>
    <mergeCell ref="A5:H5"/>
    <mergeCell ref="A6:H6"/>
  </mergeCells>
  <printOptions/>
  <pageMargins left="0.5511811023622047" right="0.2362204724409449" top="0.33" bottom="0.5118110236220472" header="0.24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16">
      <selection activeCell="E69" sqref="E69:E73"/>
    </sheetView>
  </sheetViews>
  <sheetFormatPr defaultColWidth="9.140625" defaultRowHeight="15"/>
  <cols>
    <col min="1" max="1" width="5.140625" style="57" customWidth="1"/>
    <col min="2" max="2" width="34.140625" style="14" customWidth="1"/>
    <col min="3" max="3" width="7.00390625" style="14" customWidth="1"/>
    <col min="4" max="4" width="5.00390625" style="14" customWidth="1"/>
    <col min="5" max="5" width="11.421875" style="14" customWidth="1"/>
    <col min="6" max="6" width="10.57421875" style="14" customWidth="1"/>
    <col min="7" max="7" width="11.28125" style="14" customWidth="1"/>
    <col min="8" max="8" width="10.00390625" style="14" customWidth="1"/>
    <col min="9" max="16384" width="9.140625" style="14" customWidth="1"/>
  </cols>
  <sheetData>
    <row r="1" spans="1:5" s="2" customFormat="1" ht="15">
      <c r="A1" s="230" t="s">
        <v>0</v>
      </c>
      <c r="B1" s="230"/>
      <c r="C1" s="1" t="s">
        <v>158</v>
      </c>
      <c r="D1" s="1"/>
      <c r="E1" s="1"/>
    </row>
    <row r="2" spans="1:5" s="2" customFormat="1" ht="15">
      <c r="A2" s="60"/>
      <c r="B2" s="60"/>
      <c r="C2" s="1"/>
      <c r="D2" s="1"/>
      <c r="E2" s="1"/>
    </row>
    <row r="3" spans="1:7" s="2" customFormat="1" ht="15">
      <c r="A3" s="230" t="s">
        <v>8</v>
      </c>
      <c r="B3" s="230"/>
      <c r="C3" s="230"/>
      <c r="D3" s="230"/>
      <c r="E3" s="230"/>
      <c r="F3" s="3" t="s">
        <v>49</v>
      </c>
      <c r="G3" s="1"/>
    </row>
    <row r="4" s="2" customFormat="1" ht="15">
      <c r="A4" s="53"/>
    </row>
    <row r="5" spans="1:8" s="2" customFormat="1" ht="18.75">
      <c r="A5" s="231" t="s">
        <v>173</v>
      </c>
      <c r="B5" s="231"/>
      <c r="C5" s="231"/>
      <c r="D5" s="231"/>
      <c r="E5" s="231"/>
      <c r="F5" s="231"/>
      <c r="G5" s="231"/>
      <c r="H5" s="231"/>
    </row>
    <row r="6" spans="1:8" s="2" customFormat="1" ht="15">
      <c r="A6" s="214" t="s">
        <v>149</v>
      </c>
      <c r="B6" s="214"/>
      <c r="C6" s="214"/>
      <c r="D6" s="214"/>
      <c r="E6" s="214"/>
      <c r="F6" s="214"/>
      <c r="G6" s="214"/>
      <c r="H6" s="214"/>
    </row>
    <row r="7" spans="1:6" s="2" customFormat="1" ht="15">
      <c r="A7" s="53"/>
      <c r="B7" s="4" t="s">
        <v>2</v>
      </c>
      <c r="C7" s="4"/>
      <c r="D7" s="5" t="s">
        <v>174</v>
      </c>
      <c r="E7" s="4"/>
      <c r="F7" s="4"/>
    </row>
    <row r="8" s="2" customFormat="1" ht="7.5" customHeight="1">
      <c r="A8" s="53"/>
    </row>
    <row r="9" spans="1:9" s="2" customFormat="1" ht="15">
      <c r="A9" s="148" t="s">
        <v>23</v>
      </c>
      <c r="B9" s="148"/>
      <c r="C9" s="148"/>
      <c r="D9" s="148"/>
      <c r="E9" s="148"/>
      <c r="F9" s="148"/>
      <c r="G9" s="148"/>
      <c r="H9" s="7" t="s">
        <v>50</v>
      </c>
      <c r="I9" s="7"/>
    </row>
    <row r="10" spans="1:12" s="2" customFormat="1" ht="37.5" customHeight="1">
      <c r="A10" s="17" t="s">
        <v>3</v>
      </c>
      <c r="B10" s="15" t="s">
        <v>40</v>
      </c>
      <c r="C10" s="15" t="s">
        <v>5</v>
      </c>
      <c r="D10" s="15" t="s">
        <v>6</v>
      </c>
      <c r="E10" s="16" t="s">
        <v>17</v>
      </c>
      <c r="F10" s="16" t="s">
        <v>39</v>
      </c>
      <c r="G10" s="15" t="s">
        <v>18</v>
      </c>
      <c r="H10" s="15" t="s">
        <v>7</v>
      </c>
      <c r="L10" s="6"/>
    </row>
    <row r="11" spans="1:8" s="2" customFormat="1" ht="28.5" customHeight="1">
      <c r="A11" s="17" t="s">
        <v>24</v>
      </c>
      <c r="B11" s="18" t="s">
        <v>13</v>
      </c>
      <c r="C11" s="15" t="s">
        <v>16</v>
      </c>
      <c r="D11" s="19">
        <v>1</v>
      </c>
      <c r="E11" s="23"/>
      <c r="F11" s="23"/>
      <c r="G11" s="23">
        <f aca="true" t="shared" si="0" ref="G11:G23">E11+F11</f>
        <v>0</v>
      </c>
      <c r="H11" s="19"/>
    </row>
    <row r="12" spans="1:8" s="2" customFormat="1" ht="28.5" customHeight="1">
      <c r="A12" s="17" t="s">
        <v>25</v>
      </c>
      <c r="B12" s="18" t="s">
        <v>14</v>
      </c>
      <c r="C12" s="15" t="s">
        <v>16</v>
      </c>
      <c r="D12" s="19">
        <v>1</v>
      </c>
      <c r="E12" s="23"/>
      <c r="F12" s="23"/>
      <c r="G12" s="23">
        <f t="shared" si="0"/>
        <v>0</v>
      </c>
      <c r="H12" s="19"/>
    </row>
    <row r="13" spans="1:8" s="2" customFormat="1" ht="28.5" customHeight="1">
      <c r="A13" s="17" t="s">
        <v>26</v>
      </c>
      <c r="B13" s="18" t="s">
        <v>22</v>
      </c>
      <c r="C13" s="15" t="s">
        <v>16</v>
      </c>
      <c r="D13" s="19">
        <v>1</v>
      </c>
      <c r="E13" s="23">
        <v>0</v>
      </c>
      <c r="F13" s="23"/>
      <c r="G13" s="23">
        <f t="shared" si="0"/>
        <v>0</v>
      </c>
      <c r="H13" s="19"/>
    </row>
    <row r="14" spans="1:8" s="2" customFormat="1" ht="15">
      <c r="A14" s="17" t="s">
        <v>27</v>
      </c>
      <c r="B14" s="155" t="s">
        <v>129</v>
      </c>
      <c r="C14" s="158"/>
      <c r="D14" s="158"/>
      <c r="E14" s="158"/>
      <c r="F14" s="158"/>
      <c r="G14" s="23">
        <f t="shared" si="0"/>
        <v>0</v>
      </c>
      <c r="H14" s="19"/>
    </row>
    <row r="15" spans="1:8" s="2" customFormat="1" ht="15">
      <c r="A15" s="17" t="s">
        <v>28</v>
      </c>
      <c r="B15" s="18" t="s">
        <v>21</v>
      </c>
      <c r="C15" s="15" t="s">
        <v>16</v>
      </c>
      <c r="D15" s="19">
        <v>1</v>
      </c>
      <c r="E15" s="24"/>
      <c r="F15" s="23"/>
      <c r="G15" s="23">
        <f t="shared" si="0"/>
        <v>0</v>
      </c>
      <c r="H15" s="19"/>
    </row>
    <row r="16" spans="1:11" s="2" customFormat="1" ht="15">
      <c r="A16" s="17" t="s">
        <v>29</v>
      </c>
      <c r="B16" s="18" t="s">
        <v>19</v>
      </c>
      <c r="C16" s="15" t="s">
        <v>16</v>
      </c>
      <c r="D16" s="19">
        <v>1</v>
      </c>
      <c r="E16" s="20"/>
      <c r="F16" s="23"/>
      <c r="G16" s="23">
        <f t="shared" si="0"/>
        <v>0</v>
      </c>
      <c r="H16" s="19"/>
      <c r="K16" s="2" t="s">
        <v>97</v>
      </c>
    </row>
    <row r="17" spans="1:8" s="2" customFormat="1" ht="15">
      <c r="A17" s="17" t="s">
        <v>30</v>
      </c>
      <c r="B17" s="18" t="s">
        <v>20</v>
      </c>
      <c r="C17" s="15" t="s">
        <v>16</v>
      </c>
      <c r="D17" s="19">
        <v>1</v>
      </c>
      <c r="E17" s="23"/>
      <c r="F17" s="23"/>
      <c r="G17" s="23">
        <f t="shared" si="0"/>
        <v>0</v>
      </c>
      <c r="H17" s="19"/>
    </row>
    <row r="18" spans="1:8" s="2" customFormat="1" ht="15">
      <c r="A18" s="17" t="s">
        <v>31</v>
      </c>
      <c r="B18" s="18" t="s">
        <v>51</v>
      </c>
      <c r="C18" s="15" t="s">
        <v>16</v>
      </c>
      <c r="D18" s="19">
        <v>1</v>
      </c>
      <c r="E18" s="23"/>
      <c r="F18" s="23"/>
      <c r="G18" s="23">
        <f t="shared" si="0"/>
        <v>0</v>
      </c>
      <c r="H18" s="19"/>
    </row>
    <row r="19" spans="1:8" s="2" customFormat="1" ht="15">
      <c r="A19" s="17" t="s">
        <v>134</v>
      </c>
      <c r="B19" s="18" t="s">
        <v>52</v>
      </c>
      <c r="C19" s="15" t="s">
        <v>16</v>
      </c>
      <c r="D19" s="19">
        <v>1</v>
      </c>
      <c r="E19" s="23"/>
      <c r="F19" s="23"/>
      <c r="G19" s="23">
        <f t="shared" si="0"/>
        <v>0</v>
      </c>
      <c r="H19" s="19"/>
    </row>
    <row r="20" spans="1:8" s="2" customFormat="1" ht="15">
      <c r="A20" s="17" t="s">
        <v>135</v>
      </c>
      <c r="B20" s="33" t="s">
        <v>105</v>
      </c>
      <c r="C20" s="15" t="s">
        <v>16</v>
      </c>
      <c r="D20" s="19">
        <v>1</v>
      </c>
      <c r="E20" s="23"/>
      <c r="F20" s="23"/>
      <c r="G20" s="23">
        <f t="shared" si="0"/>
        <v>0</v>
      </c>
      <c r="H20" s="19"/>
    </row>
    <row r="21" spans="1:8" s="2" customFormat="1" ht="15">
      <c r="A21" s="17" t="s">
        <v>189</v>
      </c>
      <c r="B21" s="33" t="s">
        <v>106</v>
      </c>
      <c r="C21" s="15" t="s">
        <v>16</v>
      </c>
      <c r="D21" s="19">
        <v>1</v>
      </c>
      <c r="E21" s="23"/>
      <c r="F21" s="23"/>
      <c r="G21" s="23">
        <f t="shared" si="0"/>
        <v>0</v>
      </c>
      <c r="H21" s="19"/>
    </row>
    <row r="22" spans="1:8" s="2" customFormat="1" ht="15">
      <c r="A22" s="17" t="s">
        <v>190</v>
      </c>
      <c r="B22" s="33" t="s">
        <v>109</v>
      </c>
      <c r="C22" s="15" t="s">
        <v>16</v>
      </c>
      <c r="D22" s="19">
        <v>1</v>
      </c>
      <c r="E22" s="23"/>
      <c r="F22" s="23"/>
      <c r="G22" s="23">
        <f t="shared" si="0"/>
        <v>0</v>
      </c>
      <c r="H22" s="19"/>
    </row>
    <row r="23" spans="1:8" s="2" customFormat="1" ht="15">
      <c r="A23" s="17" t="s">
        <v>191</v>
      </c>
      <c r="B23" s="33" t="s">
        <v>107</v>
      </c>
      <c r="C23" s="15" t="s">
        <v>16</v>
      </c>
      <c r="D23" s="19">
        <v>1</v>
      </c>
      <c r="E23" s="23"/>
      <c r="F23" s="23"/>
      <c r="G23" s="23">
        <f t="shared" si="0"/>
        <v>0</v>
      </c>
      <c r="H23" s="19"/>
    </row>
    <row r="24" spans="1:8" s="2" customFormat="1" ht="15">
      <c r="A24" s="17" t="s">
        <v>192</v>
      </c>
      <c r="B24" s="18" t="s">
        <v>48</v>
      </c>
      <c r="C24" s="15"/>
      <c r="D24" s="19"/>
      <c r="E24" s="23">
        <f>E25+E26</f>
        <v>0</v>
      </c>
      <c r="F24" s="23">
        <f>F25+F26</f>
        <v>0</v>
      </c>
      <c r="G24" s="23">
        <f>G25+G26</f>
        <v>0</v>
      </c>
      <c r="H24" s="19"/>
    </row>
    <row r="25" spans="1:8" s="4" customFormat="1" ht="15">
      <c r="A25" s="55"/>
      <c r="B25" s="34"/>
      <c r="C25" s="160"/>
      <c r="D25" s="35"/>
      <c r="E25" s="36"/>
      <c r="F25" s="36"/>
      <c r="G25" s="36">
        <f>E25+F25</f>
        <v>0</v>
      </c>
      <c r="H25" s="35"/>
    </row>
    <row r="26" spans="1:8" s="4" customFormat="1" ht="15">
      <c r="A26" s="55"/>
      <c r="B26" s="34"/>
      <c r="C26" s="160" t="s">
        <v>9</v>
      </c>
      <c r="D26" s="35"/>
      <c r="E26" s="161"/>
      <c r="F26" s="36"/>
      <c r="G26" s="36">
        <f>E26+F26</f>
        <v>0</v>
      </c>
      <c r="H26" s="35"/>
    </row>
    <row r="27" spans="1:8" s="2" customFormat="1" ht="17.25" customHeight="1">
      <c r="A27" s="61" t="s">
        <v>33</v>
      </c>
      <c r="B27" s="62"/>
      <c r="C27" s="170"/>
      <c r="D27" s="135"/>
      <c r="E27" s="171">
        <f>E11+E12+E13+E14+E15+E16+E17+E18+E19+E24+E20+E21+E22+E23</f>
        <v>0</v>
      </c>
      <c r="F27" s="171">
        <f>F11+F12+F13+F14+F15+F16+F17+F18+F19+F24+F20+F21+F22+F23</f>
        <v>0</v>
      </c>
      <c r="G27" s="171">
        <f>G11+G12+G13+G14+G15+G16+G17+G18+G19+G24+G20+G21+G22+G23</f>
        <v>0</v>
      </c>
      <c r="H27" s="41"/>
    </row>
    <row r="28" s="2" customFormat="1" ht="8.25" customHeight="1">
      <c r="A28" s="53"/>
    </row>
    <row r="29" spans="1:8" s="2" customFormat="1" ht="15">
      <c r="A29" s="148" t="s">
        <v>32</v>
      </c>
      <c r="B29" s="148"/>
      <c r="C29" s="148"/>
      <c r="D29" s="148"/>
      <c r="E29" s="148"/>
      <c r="F29" s="148"/>
      <c r="G29" s="148"/>
      <c r="H29" s="148"/>
    </row>
    <row r="30" spans="1:8" s="2" customFormat="1" ht="36.75" customHeight="1">
      <c r="A30" s="17" t="s">
        <v>3</v>
      </c>
      <c r="B30" s="15" t="s">
        <v>40</v>
      </c>
      <c r="C30" s="15" t="s">
        <v>5</v>
      </c>
      <c r="D30" s="15" t="s">
        <v>6</v>
      </c>
      <c r="E30" s="16" t="s">
        <v>17</v>
      </c>
      <c r="F30" s="16" t="s">
        <v>39</v>
      </c>
      <c r="G30" s="15" t="s">
        <v>18</v>
      </c>
      <c r="H30" s="15" t="s">
        <v>7</v>
      </c>
    </row>
    <row r="31" spans="1:8" s="2" customFormat="1" ht="25.5" customHeight="1">
      <c r="A31" s="17" t="s">
        <v>34</v>
      </c>
      <c r="B31" s="18" t="s">
        <v>150</v>
      </c>
      <c r="C31" s="15" t="s">
        <v>16</v>
      </c>
      <c r="D31" s="19">
        <v>1</v>
      </c>
      <c r="E31" s="23"/>
      <c r="F31" s="23"/>
      <c r="G31" s="23">
        <f aca="true" t="shared" si="1" ref="G31:G37">E31+F31</f>
        <v>0</v>
      </c>
      <c r="H31" s="19"/>
    </row>
    <row r="32" spans="1:8" s="2" customFormat="1" ht="26.25" customHeight="1">
      <c r="A32" s="17" t="s">
        <v>35</v>
      </c>
      <c r="B32" s="18" t="s">
        <v>151</v>
      </c>
      <c r="C32" s="15" t="s">
        <v>16</v>
      </c>
      <c r="D32" s="19">
        <v>1</v>
      </c>
      <c r="E32" s="23"/>
      <c r="F32" s="23"/>
      <c r="G32" s="23">
        <f t="shared" si="1"/>
        <v>0</v>
      </c>
      <c r="H32" s="19"/>
    </row>
    <row r="33" spans="1:8" s="2" customFormat="1" ht="15">
      <c r="A33" s="17" t="s">
        <v>36</v>
      </c>
      <c r="B33" s="155" t="s">
        <v>129</v>
      </c>
      <c r="C33" s="15"/>
      <c r="D33" s="19"/>
      <c r="E33" s="23"/>
      <c r="F33" s="23"/>
      <c r="G33" s="23">
        <f t="shared" si="1"/>
        <v>0</v>
      </c>
      <c r="H33" s="19"/>
    </row>
    <row r="34" spans="1:8" s="2" customFormat="1" ht="15">
      <c r="A34" s="17" t="s">
        <v>37</v>
      </c>
      <c r="B34" s="18" t="s">
        <v>53</v>
      </c>
      <c r="C34" s="15" t="s">
        <v>16</v>
      </c>
      <c r="D34" s="19">
        <v>1</v>
      </c>
      <c r="E34" s="23"/>
      <c r="F34" s="23"/>
      <c r="G34" s="23">
        <f t="shared" si="1"/>
        <v>0</v>
      </c>
      <c r="H34" s="19"/>
    </row>
    <row r="35" spans="1:8" s="2" customFormat="1" ht="15">
      <c r="A35" s="17" t="s">
        <v>137</v>
      </c>
      <c r="B35" s="18" t="s">
        <v>48</v>
      </c>
      <c r="C35" s="15" t="s">
        <v>9</v>
      </c>
      <c r="D35" s="19">
        <v>1</v>
      </c>
      <c r="E35" s="23">
        <f>E36+E37</f>
        <v>0</v>
      </c>
      <c r="F35" s="23">
        <f>F36+F37</f>
        <v>0</v>
      </c>
      <c r="G35" s="23">
        <f t="shared" si="1"/>
        <v>0</v>
      </c>
      <c r="H35" s="19"/>
    </row>
    <row r="36" spans="1:8" s="4" customFormat="1" ht="15">
      <c r="A36" s="55"/>
      <c r="B36" s="34"/>
      <c r="C36" s="160"/>
      <c r="D36" s="35"/>
      <c r="E36" s="36"/>
      <c r="F36" s="36"/>
      <c r="G36" s="36">
        <f t="shared" si="1"/>
        <v>0</v>
      </c>
      <c r="H36" s="35"/>
    </row>
    <row r="37" spans="1:9" s="4" customFormat="1" ht="15">
      <c r="A37" s="55"/>
      <c r="B37" s="34"/>
      <c r="C37" s="160"/>
      <c r="D37" s="35"/>
      <c r="E37" s="36"/>
      <c r="F37" s="36"/>
      <c r="G37" s="36">
        <f t="shared" si="1"/>
        <v>0</v>
      </c>
      <c r="H37" s="35"/>
      <c r="I37" s="4" t="s">
        <v>97</v>
      </c>
    </row>
    <row r="38" spans="1:8" s="2" customFormat="1" ht="15">
      <c r="A38" s="227" t="s">
        <v>10</v>
      </c>
      <c r="B38" s="228"/>
      <c r="C38" s="229"/>
      <c r="D38" s="41"/>
      <c r="E38" s="171">
        <f>E31+E32+E33+E34+E35</f>
        <v>0</v>
      </c>
      <c r="F38" s="171">
        <f>F31+F32+F33+F34+F35</f>
        <v>0</v>
      </c>
      <c r="G38" s="171">
        <f>G31+G32+G33+G34+G35</f>
        <v>0</v>
      </c>
      <c r="H38" s="41"/>
    </row>
    <row r="39" s="2" customFormat="1" ht="9.75" customHeight="1">
      <c r="A39" s="53"/>
    </row>
    <row r="40" spans="1:8" s="2" customFormat="1" ht="15">
      <c r="A40" s="219" t="s">
        <v>38</v>
      </c>
      <c r="B40" s="219"/>
      <c r="C40" s="219"/>
      <c r="D40" s="219"/>
      <c r="E40" s="219"/>
      <c r="F40" s="219"/>
      <c r="G40" s="219"/>
      <c r="H40" s="219"/>
    </row>
    <row r="41" spans="1:8" s="2" customFormat="1" ht="36" customHeight="1">
      <c r="A41" s="17" t="s">
        <v>3</v>
      </c>
      <c r="B41" s="15" t="s">
        <v>40</v>
      </c>
      <c r="C41" s="15" t="s">
        <v>5</v>
      </c>
      <c r="D41" s="15" t="s">
        <v>6</v>
      </c>
      <c r="E41" s="16" t="s">
        <v>17</v>
      </c>
      <c r="F41" s="16" t="s">
        <v>39</v>
      </c>
      <c r="G41" s="15" t="s">
        <v>18</v>
      </c>
      <c r="H41" s="15" t="s">
        <v>7</v>
      </c>
    </row>
    <row r="42" spans="1:8" s="2" customFormat="1" ht="26.25" customHeight="1">
      <c r="A42" s="17" t="s">
        <v>42</v>
      </c>
      <c r="B42" s="18" t="s">
        <v>153</v>
      </c>
      <c r="C42" s="15" t="s">
        <v>16</v>
      </c>
      <c r="D42" s="15">
        <v>1</v>
      </c>
      <c r="E42" s="25"/>
      <c r="F42" s="25"/>
      <c r="G42" s="26">
        <f>E42+F42</f>
        <v>0</v>
      </c>
      <c r="H42" s="19"/>
    </row>
    <row r="43" spans="1:8" s="2" customFormat="1" ht="15">
      <c r="A43" s="17"/>
      <c r="B43" s="155" t="s">
        <v>129</v>
      </c>
      <c r="C43" s="15"/>
      <c r="D43" s="15"/>
      <c r="E43" s="25"/>
      <c r="F43" s="25"/>
      <c r="G43" s="26">
        <f>E43+F43</f>
        <v>0</v>
      </c>
      <c r="H43" s="19"/>
    </row>
    <row r="44" spans="1:8" s="2" customFormat="1" ht="15">
      <c r="A44" s="17" t="s">
        <v>43</v>
      </c>
      <c r="B44" s="18" t="s">
        <v>48</v>
      </c>
      <c r="C44" s="15"/>
      <c r="D44" s="15"/>
      <c r="E44" s="25"/>
      <c r="F44" s="25"/>
      <c r="G44" s="26">
        <f>E44+F44</f>
        <v>0</v>
      </c>
      <c r="H44" s="19"/>
    </row>
    <row r="45" spans="1:11" s="2" customFormat="1" ht="15">
      <c r="A45" s="17"/>
      <c r="B45" s="18"/>
      <c r="C45" s="15"/>
      <c r="D45" s="19"/>
      <c r="E45" s="23"/>
      <c r="F45" s="26"/>
      <c r="G45" s="37">
        <f>E45+F45</f>
        <v>0</v>
      </c>
      <c r="H45" s="19"/>
      <c r="K45" s="12">
        <f>F27+F38+F47</f>
        <v>0</v>
      </c>
    </row>
    <row r="46" spans="1:8" s="2" customFormat="1" ht="15">
      <c r="A46" s="17"/>
      <c r="B46" s="18"/>
      <c r="C46" s="19"/>
      <c r="D46" s="19"/>
      <c r="E46" s="23"/>
      <c r="F46" s="26"/>
      <c r="G46" s="37">
        <f>E46+F46</f>
        <v>0</v>
      </c>
      <c r="H46" s="19"/>
    </row>
    <row r="47" spans="1:8" s="2" customFormat="1" ht="15">
      <c r="A47" s="211" t="s">
        <v>41</v>
      </c>
      <c r="B47" s="212"/>
      <c r="C47" s="213"/>
      <c r="D47" s="41"/>
      <c r="E47" s="42">
        <f>SUM(E42:E46)</f>
        <v>0</v>
      </c>
      <c r="F47" s="44">
        <f>SUM(F42:F44)</f>
        <v>0</v>
      </c>
      <c r="G47" s="42">
        <f>SUM(G42:G46)</f>
        <v>0</v>
      </c>
      <c r="H47" s="41"/>
    </row>
    <row r="48" spans="1:8" s="2" customFormat="1" ht="7.5" customHeight="1">
      <c r="A48" s="54"/>
      <c r="B48" s="8"/>
      <c r="C48" s="8"/>
      <c r="D48" s="9"/>
      <c r="E48" s="9"/>
      <c r="F48" s="10"/>
      <c r="G48" s="9"/>
      <c r="H48" s="11"/>
    </row>
    <row r="49" spans="1:8" s="7" customFormat="1" ht="15" customHeight="1">
      <c r="A49" s="219" t="s">
        <v>154</v>
      </c>
      <c r="B49" s="219"/>
      <c r="C49" s="219"/>
      <c r="D49" s="219"/>
      <c r="E49" s="219"/>
      <c r="F49" s="219"/>
      <c r="G49" s="219"/>
      <c r="H49" s="58"/>
    </row>
    <row r="50" spans="1:7" s="2" customFormat="1" ht="24.75">
      <c r="A50" s="17" t="s">
        <v>3</v>
      </c>
      <c r="B50" s="15" t="s">
        <v>4</v>
      </c>
      <c r="C50" s="15" t="s">
        <v>5</v>
      </c>
      <c r="D50" s="15" t="s">
        <v>6</v>
      </c>
      <c r="E50" s="16" t="s">
        <v>45</v>
      </c>
      <c r="F50" s="220" t="s">
        <v>46</v>
      </c>
      <c r="G50" s="221"/>
    </row>
    <row r="51" spans="1:7" s="2" customFormat="1" ht="25.5" customHeight="1">
      <c r="A51" s="17" t="s">
        <v>67</v>
      </c>
      <c r="B51" s="27" t="s">
        <v>152</v>
      </c>
      <c r="C51" s="29" t="s">
        <v>16</v>
      </c>
      <c r="D51" s="28">
        <v>1</v>
      </c>
      <c r="E51" s="30"/>
      <c r="F51" s="30"/>
      <c r="G51" s="30"/>
    </row>
    <row r="52" spans="1:7" s="2" customFormat="1" ht="15">
      <c r="A52" s="17" t="s">
        <v>68</v>
      </c>
      <c r="B52" s="28" t="s">
        <v>54</v>
      </c>
      <c r="C52" s="29" t="s">
        <v>16</v>
      </c>
      <c r="D52" s="28">
        <v>1</v>
      </c>
      <c r="E52" s="30"/>
      <c r="F52" s="30"/>
      <c r="G52" s="30"/>
    </row>
    <row r="53" spans="1:7" s="2" customFormat="1" ht="15">
      <c r="A53" s="17" t="s">
        <v>69</v>
      </c>
      <c r="B53" s="28" t="s">
        <v>55</v>
      </c>
      <c r="C53" s="29" t="s">
        <v>16</v>
      </c>
      <c r="D53" s="28">
        <v>1</v>
      </c>
      <c r="E53" s="30"/>
      <c r="F53" s="30"/>
      <c r="G53" s="30"/>
    </row>
    <row r="54" spans="1:7" s="2" customFormat="1" ht="15">
      <c r="A54" s="17" t="s">
        <v>70</v>
      </c>
      <c r="B54" s="28" t="s">
        <v>56</v>
      </c>
      <c r="C54" s="29" t="s">
        <v>16</v>
      </c>
      <c r="D54" s="28">
        <v>1</v>
      </c>
      <c r="E54" s="30"/>
      <c r="F54" s="30"/>
      <c r="G54" s="30"/>
    </row>
    <row r="55" spans="1:7" s="2" customFormat="1" ht="15">
      <c r="A55" s="17" t="s">
        <v>72</v>
      </c>
      <c r="B55" s="18" t="s">
        <v>75</v>
      </c>
      <c r="C55" s="29" t="s">
        <v>16</v>
      </c>
      <c r="D55" s="28">
        <v>1</v>
      </c>
      <c r="E55" s="30">
        <f>E56+E57+E58+E59+E60+E61+E62+E63+E64</f>
        <v>0</v>
      </c>
      <c r="F55" s="30"/>
      <c r="G55" s="30"/>
    </row>
    <row r="56" spans="1:7" s="4" customFormat="1" ht="15">
      <c r="A56" s="55"/>
      <c r="B56" s="34" t="s">
        <v>64</v>
      </c>
      <c r="C56" s="29" t="s">
        <v>16</v>
      </c>
      <c r="D56" s="28">
        <v>1</v>
      </c>
      <c r="E56" s="36"/>
      <c r="F56" s="37"/>
      <c r="G56" s="36"/>
    </row>
    <row r="57" spans="1:11" s="4" customFormat="1" ht="15">
      <c r="A57" s="55"/>
      <c r="B57" s="34" t="s">
        <v>65</v>
      </c>
      <c r="C57" s="29" t="s">
        <v>16</v>
      </c>
      <c r="D57" s="28">
        <v>1</v>
      </c>
      <c r="E57" s="36"/>
      <c r="F57" s="37"/>
      <c r="G57" s="36"/>
      <c r="J57" s="38"/>
      <c r="K57" s="39"/>
    </row>
    <row r="58" spans="1:7" s="4" customFormat="1" ht="24.75">
      <c r="A58" s="55"/>
      <c r="B58" s="34" t="s">
        <v>66</v>
      </c>
      <c r="C58" s="29" t="s">
        <v>16</v>
      </c>
      <c r="D58" s="28">
        <v>1</v>
      </c>
      <c r="E58" s="36"/>
      <c r="F58" s="37"/>
      <c r="G58" s="36"/>
    </row>
    <row r="59" spans="1:7" s="4" customFormat="1" ht="15">
      <c r="A59" s="55"/>
      <c r="B59" s="34" t="s">
        <v>71</v>
      </c>
      <c r="C59" s="29" t="s">
        <v>16</v>
      </c>
      <c r="D59" s="28">
        <v>1</v>
      </c>
      <c r="E59" s="35"/>
      <c r="F59" s="40"/>
      <c r="G59" s="35"/>
    </row>
    <row r="60" spans="1:7" s="4" customFormat="1" ht="15">
      <c r="A60" s="55"/>
      <c r="B60" s="34" t="s">
        <v>76</v>
      </c>
      <c r="C60" s="29" t="s">
        <v>16</v>
      </c>
      <c r="D60" s="28">
        <v>1</v>
      </c>
      <c r="E60" s="35"/>
      <c r="F60" s="40"/>
      <c r="G60" s="35"/>
    </row>
    <row r="61" spans="1:7" s="4" customFormat="1" ht="15">
      <c r="A61" s="55"/>
      <c r="B61" s="34" t="s">
        <v>74</v>
      </c>
      <c r="C61" s="29" t="s">
        <v>16</v>
      </c>
      <c r="D61" s="28">
        <v>1</v>
      </c>
      <c r="E61" s="35"/>
      <c r="F61" s="40"/>
      <c r="G61" s="35"/>
    </row>
    <row r="62" spans="1:7" s="4" customFormat="1" ht="15">
      <c r="A62" s="55"/>
      <c r="B62" s="34" t="s">
        <v>77</v>
      </c>
      <c r="C62" s="29" t="s">
        <v>16</v>
      </c>
      <c r="D62" s="28">
        <v>1</v>
      </c>
      <c r="E62" s="35"/>
      <c r="F62" s="40"/>
      <c r="G62" s="35"/>
    </row>
    <row r="63" spans="1:7" s="4" customFormat="1" ht="15">
      <c r="A63" s="55"/>
      <c r="B63" s="34" t="s">
        <v>78</v>
      </c>
      <c r="C63" s="29" t="s">
        <v>16</v>
      </c>
      <c r="D63" s="28">
        <v>1</v>
      </c>
      <c r="E63" s="35"/>
      <c r="F63" s="40"/>
      <c r="G63" s="35"/>
    </row>
    <row r="64" spans="1:9" s="4" customFormat="1" ht="15">
      <c r="A64" s="55"/>
      <c r="B64" s="34"/>
      <c r="C64" s="35"/>
      <c r="D64" s="35"/>
      <c r="E64" s="35"/>
      <c r="F64" s="40"/>
      <c r="G64" s="35"/>
      <c r="I64" s="39"/>
    </row>
    <row r="65" spans="1:7" s="2" customFormat="1" ht="15">
      <c r="A65" s="180" t="s">
        <v>155</v>
      </c>
      <c r="B65" s="181"/>
      <c r="C65" s="182"/>
      <c r="D65" s="41"/>
      <c r="E65" s="42">
        <f>E51+E52+E53+E54+E55</f>
        <v>0</v>
      </c>
      <c r="F65" s="43"/>
      <c r="G65" s="41"/>
    </row>
    <row r="66" spans="1:7" s="52" customFormat="1" ht="25.5">
      <c r="A66" s="56" t="s">
        <v>156</v>
      </c>
      <c r="B66" s="47" t="s">
        <v>57</v>
      </c>
      <c r="C66" s="48" t="s">
        <v>16</v>
      </c>
      <c r="D66" s="49">
        <v>1</v>
      </c>
      <c r="E66" s="51">
        <v>4448.5</v>
      </c>
      <c r="F66" s="50"/>
      <c r="G66" s="51"/>
    </row>
    <row r="67" spans="1:7" s="46" customFormat="1" ht="15" customHeight="1">
      <c r="A67" s="222" t="s">
        <v>157</v>
      </c>
      <c r="B67" s="223"/>
      <c r="C67" s="223"/>
      <c r="D67" s="223"/>
      <c r="E67" s="223"/>
      <c r="F67" s="223"/>
      <c r="G67" s="224"/>
    </row>
    <row r="68" spans="1:7" s="2" customFormat="1" ht="33.75" customHeight="1">
      <c r="A68" s="17" t="s">
        <v>3</v>
      </c>
      <c r="B68" s="15" t="s">
        <v>4</v>
      </c>
      <c r="C68" s="15" t="s">
        <v>5</v>
      </c>
      <c r="D68" s="15" t="s">
        <v>6</v>
      </c>
      <c r="E68" s="16" t="s">
        <v>45</v>
      </c>
      <c r="F68" s="220" t="s">
        <v>46</v>
      </c>
      <c r="G68" s="221"/>
    </row>
    <row r="69" spans="1:7" s="2" customFormat="1" ht="25.5" customHeight="1">
      <c r="A69" s="17"/>
      <c r="B69" s="33" t="s">
        <v>58</v>
      </c>
      <c r="C69" s="29" t="s">
        <v>16</v>
      </c>
      <c r="D69" s="28">
        <v>1</v>
      </c>
      <c r="E69" s="30"/>
      <c r="F69" s="30"/>
      <c r="G69" s="30"/>
    </row>
    <row r="70" spans="1:7" s="2" customFormat="1" ht="15">
      <c r="A70" s="17"/>
      <c r="B70" s="33" t="s">
        <v>59</v>
      </c>
      <c r="C70" s="29" t="s">
        <v>16</v>
      </c>
      <c r="D70" s="28">
        <v>1</v>
      </c>
      <c r="E70" s="30"/>
      <c r="F70" s="30"/>
      <c r="G70" s="30"/>
    </row>
    <row r="71" spans="1:7" s="2" customFormat="1" ht="15">
      <c r="A71" s="17"/>
      <c r="B71" s="33" t="s">
        <v>60</v>
      </c>
      <c r="C71" s="29" t="s">
        <v>16</v>
      </c>
      <c r="D71" s="28">
        <v>1</v>
      </c>
      <c r="E71" s="30"/>
      <c r="F71" s="30"/>
      <c r="G71" s="30"/>
    </row>
    <row r="72" spans="1:7" s="2" customFormat="1" ht="15">
      <c r="A72" s="17"/>
      <c r="B72" s="33" t="s">
        <v>61</v>
      </c>
      <c r="C72" s="29" t="s">
        <v>16</v>
      </c>
      <c r="D72" s="28">
        <v>1</v>
      </c>
      <c r="E72" s="30"/>
      <c r="F72" s="30"/>
      <c r="G72" s="30"/>
    </row>
    <row r="73" spans="1:9" s="2" customFormat="1" ht="15">
      <c r="A73" s="17"/>
      <c r="B73" s="33" t="s">
        <v>62</v>
      </c>
      <c r="C73" s="29" t="s">
        <v>16</v>
      </c>
      <c r="D73" s="19">
        <v>1</v>
      </c>
      <c r="E73" s="30"/>
      <c r="F73" s="26"/>
      <c r="G73" s="23"/>
      <c r="I73" s="13">
        <f>E72+E73</f>
        <v>0</v>
      </c>
    </row>
    <row r="74" spans="1:7" s="2" customFormat="1" ht="15">
      <c r="A74" s="17"/>
      <c r="B74" s="18"/>
      <c r="C74" s="29"/>
      <c r="D74" s="28"/>
      <c r="E74" s="30"/>
      <c r="F74" s="30"/>
      <c r="G74" s="30"/>
    </row>
    <row r="75" spans="1:7" s="2" customFormat="1" ht="15">
      <c r="A75" s="215" t="s">
        <v>63</v>
      </c>
      <c r="B75" s="216"/>
      <c r="C75" s="217"/>
      <c r="D75" s="19"/>
      <c r="E75" s="30">
        <f>SUM(E69:E74)</f>
        <v>0</v>
      </c>
      <c r="F75" s="21"/>
      <c r="G75" s="19"/>
    </row>
    <row r="76" spans="1:7" s="2" customFormat="1" ht="15">
      <c r="A76" s="54"/>
      <c r="B76" s="8"/>
      <c r="C76" s="8"/>
      <c r="D76" s="31"/>
      <c r="E76" s="45"/>
      <c r="F76" s="32"/>
      <c r="G76" s="31"/>
    </row>
    <row r="77" spans="1:7" s="2" customFormat="1" ht="15">
      <c r="A77" s="54"/>
      <c r="B77" s="8"/>
      <c r="C77" s="8"/>
      <c r="D77" s="31"/>
      <c r="E77" s="45"/>
      <c r="F77" s="32"/>
      <c r="G77" s="31"/>
    </row>
    <row r="78" spans="1:7" s="2" customFormat="1" ht="15">
      <c r="A78" s="54"/>
      <c r="B78" s="8"/>
      <c r="C78" s="8"/>
      <c r="D78" s="31"/>
      <c r="E78" s="45"/>
      <c r="F78" s="32"/>
      <c r="G78" s="31"/>
    </row>
    <row r="79" spans="1:7" s="2" customFormat="1" ht="15">
      <c r="A79" s="54"/>
      <c r="B79" s="8"/>
      <c r="C79" s="8"/>
      <c r="D79" s="31"/>
      <c r="E79" s="45"/>
      <c r="F79" s="32"/>
      <c r="G79" s="31"/>
    </row>
    <row r="80" s="2" customFormat="1" ht="15">
      <c r="A80" s="53"/>
    </row>
    <row r="81" spans="1:7" s="2" customFormat="1" ht="15">
      <c r="A81" s="218" t="s">
        <v>11</v>
      </c>
      <c r="B81" s="218"/>
      <c r="C81" s="218"/>
      <c r="D81" s="218"/>
      <c r="E81" s="225">
        <f>G27+G38+G47+E65+E66+E75</f>
        <v>4448.5</v>
      </c>
      <c r="F81" s="225"/>
      <c r="G81" s="225"/>
    </row>
    <row r="82" spans="1:7" s="2" customFormat="1" ht="15">
      <c r="A82" s="53"/>
      <c r="G82" s="13"/>
    </row>
    <row r="83" s="2" customFormat="1" ht="15">
      <c r="A83" s="53"/>
    </row>
    <row r="84" s="2" customFormat="1" ht="15">
      <c r="A84" s="53"/>
    </row>
    <row r="85" s="2" customFormat="1" ht="15">
      <c r="A85" s="53"/>
    </row>
    <row r="86" spans="1:5" s="2" customFormat="1" ht="15">
      <c r="A86" s="226" t="s">
        <v>47</v>
      </c>
      <c r="B86" s="226"/>
      <c r="E86" s="2" t="s">
        <v>12</v>
      </c>
    </row>
    <row r="87" spans="1:5" s="2" customFormat="1" ht="15">
      <c r="A87" s="226" t="s">
        <v>1</v>
      </c>
      <c r="B87" s="226"/>
      <c r="E87" s="2" t="s">
        <v>158</v>
      </c>
    </row>
    <row r="88" spans="1:5" s="2" customFormat="1" ht="30" customHeight="1">
      <c r="A88" s="214" t="s">
        <v>73</v>
      </c>
      <c r="B88" s="214"/>
      <c r="C88" s="22"/>
      <c r="E88" s="2" t="s">
        <v>15</v>
      </c>
    </row>
    <row r="89" s="2" customFormat="1" ht="15">
      <c r="A89" s="53"/>
    </row>
    <row r="90" s="2" customFormat="1" ht="15">
      <c r="A90" s="53"/>
    </row>
    <row r="91" s="2" customFormat="1" ht="15">
      <c r="A91" s="53"/>
    </row>
    <row r="92" s="2" customFormat="1" ht="15">
      <c r="A92" s="53"/>
    </row>
  </sheetData>
  <sheetProtection/>
  <mergeCells count="17">
    <mergeCell ref="A87:B87"/>
    <mergeCell ref="A88:B88"/>
    <mergeCell ref="A81:D81"/>
    <mergeCell ref="A1:B1"/>
    <mergeCell ref="A3:E3"/>
    <mergeCell ref="A5:H5"/>
    <mergeCell ref="A6:H6"/>
    <mergeCell ref="E81:G81"/>
    <mergeCell ref="A86:B86"/>
    <mergeCell ref="F50:G50"/>
    <mergeCell ref="A67:G67"/>
    <mergeCell ref="F68:G68"/>
    <mergeCell ref="A75:C75"/>
    <mergeCell ref="A38:C38"/>
    <mergeCell ref="A40:H40"/>
    <mergeCell ref="A47:C47"/>
    <mergeCell ref="A49:G49"/>
  </mergeCells>
  <printOptions/>
  <pageMargins left="0.47" right="0.23" top="0.5" bottom="0.7" header="0.52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55">
      <selection activeCell="E72" sqref="E72"/>
    </sheetView>
  </sheetViews>
  <sheetFormatPr defaultColWidth="9.140625" defaultRowHeight="15"/>
  <cols>
    <col min="1" max="1" width="5.140625" style="57" customWidth="1"/>
    <col min="2" max="2" width="34.140625" style="14" customWidth="1"/>
    <col min="3" max="3" width="7.00390625" style="14" customWidth="1"/>
    <col min="4" max="4" width="5.00390625" style="14" customWidth="1"/>
    <col min="5" max="5" width="11.421875" style="14" customWidth="1"/>
    <col min="6" max="6" width="10.57421875" style="14" customWidth="1"/>
    <col min="7" max="7" width="11.8515625" style="14" customWidth="1"/>
    <col min="8" max="8" width="10.00390625" style="14" customWidth="1"/>
    <col min="9" max="16384" width="9.140625" style="14" customWidth="1"/>
  </cols>
  <sheetData>
    <row r="1" spans="1:5" s="2" customFormat="1" ht="15">
      <c r="A1" s="230" t="s">
        <v>0</v>
      </c>
      <c r="B1" s="230"/>
      <c r="C1" s="1" t="s">
        <v>200</v>
      </c>
      <c r="D1" s="1"/>
      <c r="E1" s="1"/>
    </row>
    <row r="2" spans="1:5" s="2" customFormat="1" ht="15">
      <c r="A2" s="60"/>
      <c r="B2" s="60"/>
      <c r="C2" s="1"/>
      <c r="D2" s="1"/>
      <c r="E2" s="1"/>
    </row>
    <row r="3" spans="1:7" s="2" customFormat="1" ht="15">
      <c r="A3" s="230" t="s">
        <v>8</v>
      </c>
      <c r="B3" s="230"/>
      <c r="C3" s="230"/>
      <c r="D3" s="230"/>
      <c r="E3" s="230"/>
      <c r="F3" s="3" t="s">
        <v>49</v>
      </c>
      <c r="G3" s="1"/>
    </row>
    <row r="4" s="2" customFormat="1" ht="15">
      <c r="A4" s="53"/>
    </row>
    <row r="5" spans="1:8" s="2" customFormat="1" ht="18.75">
      <c r="A5" s="231" t="s">
        <v>175</v>
      </c>
      <c r="B5" s="231"/>
      <c r="C5" s="231"/>
      <c r="D5" s="231"/>
      <c r="E5" s="231"/>
      <c r="F5" s="231"/>
      <c r="G5" s="231"/>
      <c r="H5" s="231"/>
    </row>
    <row r="6" spans="1:8" s="2" customFormat="1" ht="15">
      <c r="A6" s="214" t="s">
        <v>149</v>
      </c>
      <c r="B6" s="214"/>
      <c r="C6" s="214"/>
      <c r="D6" s="214"/>
      <c r="E6" s="214"/>
      <c r="F6" s="214"/>
      <c r="G6" s="214"/>
      <c r="H6" s="214"/>
    </row>
    <row r="7" spans="1:6" s="2" customFormat="1" ht="15">
      <c r="A7" s="53"/>
      <c r="B7" s="4" t="s">
        <v>2</v>
      </c>
      <c r="C7" s="4"/>
      <c r="D7" s="5" t="s">
        <v>176</v>
      </c>
      <c r="E7" s="4"/>
      <c r="F7" s="4"/>
    </row>
    <row r="8" s="2" customFormat="1" ht="7.5" customHeight="1">
      <c r="A8" s="53"/>
    </row>
    <row r="9" spans="1:9" s="2" customFormat="1" ht="15">
      <c r="A9" s="148" t="s">
        <v>23</v>
      </c>
      <c r="B9" s="148"/>
      <c r="C9" s="148"/>
      <c r="D9" s="148"/>
      <c r="E9" s="148"/>
      <c r="F9" s="148"/>
      <c r="G9" s="148"/>
      <c r="H9" s="7" t="s">
        <v>50</v>
      </c>
      <c r="I9" s="7"/>
    </row>
    <row r="10" spans="1:12" s="2" customFormat="1" ht="37.5" customHeight="1">
      <c r="A10" s="17" t="s">
        <v>3</v>
      </c>
      <c r="B10" s="15" t="s">
        <v>40</v>
      </c>
      <c r="C10" s="15" t="s">
        <v>5</v>
      </c>
      <c r="D10" s="15" t="s">
        <v>6</v>
      </c>
      <c r="E10" s="16" t="s">
        <v>17</v>
      </c>
      <c r="F10" s="16" t="s">
        <v>39</v>
      </c>
      <c r="G10" s="15" t="s">
        <v>18</v>
      </c>
      <c r="H10" s="15" t="s">
        <v>7</v>
      </c>
      <c r="L10" s="6"/>
    </row>
    <row r="11" spans="1:8" s="2" customFormat="1" ht="28.5" customHeight="1">
      <c r="A11" s="17" t="s">
        <v>24</v>
      </c>
      <c r="B11" s="18" t="s">
        <v>13</v>
      </c>
      <c r="C11" s="15" t="s">
        <v>16</v>
      </c>
      <c r="D11" s="19">
        <v>1</v>
      </c>
      <c r="E11" s="23">
        <v>12889.8</v>
      </c>
      <c r="F11" s="23">
        <v>618.75</v>
      </c>
      <c r="G11" s="23">
        <f aca="true" t="shared" si="0" ref="G11:G23">E11+F11</f>
        <v>13508.55</v>
      </c>
      <c r="H11" s="19"/>
    </row>
    <row r="12" spans="1:8" s="2" customFormat="1" ht="28.5" customHeight="1">
      <c r="A12" s="17" t="s">
        <v>25</v>
      </c>
      <c r="B12" s="18" t="s">
        <v>14</v>
      </c>
      <c r="C12" s="15" t="s">
        <v>16</v>
      </c>
      <c r="D12" s="19">
        <v>1</v>
      </c>
      <c r="E12" s="23">
        <v>5077.8</v>
      </c>
      <c r="F12" s="23"/>
      <c r="G12" s="23">
        <f t="shared" si="0"/>
        <v>5077.8</v>
      </c>
      <c r="H12" s="19"/>
    </row>
    <row r="13" spans="1:8" s="2" customFormat="1" ht="28.5" customHeight="1">
      <c r="A13" s="17" t="s">
        <v>26</v>
      </c>
      <c r="B13" s="18" t="s">
        <v>22</v>
      </c>
      <c r="C13" s="15" t="s">
        <v>16</v>
      </c>
      <c r="D13" s="19">
        <v>1</v>
      </c>
      <c r="E13" s="23">
        <v>0</v>
      </c>
      <c r="F13" s="23"/>
      <c r="G13" s="23">
        <f t="shared" si="0"/>
        <v>0</v>
      </c>
      <c r="H13" s="19"/>
    </row>
    <row r="14" spans="1:8" s="2" customFormat="1" ht="15">
      <c r="A14" s="17" t="s">
        <v>27</v>
      </c>
      <c r="B14" s="155" t="s">
        <v>129</v>
      </c>
      <c r="C14" s="158"/>
      <c r="D14" s="158"/>
      <c r="E14" s="158"/>
      <c r="F14" s="158"/>
      <c r="G14" s="23">
        <f t="shared" si="0"/>
        <v>0</v>
      </c>
      <c r="H14" s="19"/>
    </row>
    <row r="15" spans="1:8" s="2" customFormat="1" ht="15">
      <c r="A15" s="17" t="s">
        <v>28</v>
      </c>
      <c r="B15" s="18" t="s">
        <v>21</v>
      </c>
      <c r="C15" s="15" t="s">
        <v>16</v>
      </c>
      <c r="D15" s="19">
        <v>1</v>
      </c>
      <c r="E15" s="24">
        <v>25378.66</v>
      </c>
      <c r="F15" s="23"/>
      <c r="G15" s="23">
        <f t="shared" si="0"/>
        <v>25378.66</v>
      </c>
      <c r="H15" s="19"/>
    </row>
    <row r="16" spans="1:11" s="2" customFormat="1" ht="15">
      <c r="A16" s="17" t="s">
        <v>29</v>
      </c>
      <c r="B16" s="18" t="s">
        <v>19</v>
      </c>
      <c r="C16" s="15" t="s">
        <v>16</v>
      </c>
      <c r="D16" s="19">
        <v>1</v>
      </c>
      <c r="E16" s="20">
        <v>14415.31</v>
      </c>
      <c r="F16" s="23"/>
      <c r="G16" s="23">
        <f t="shared" si="0"/>
        <v>14415.31</v>
      </c>
      <c r="H16" s="19"/>
      <c r="K16" s="2" t="s">
        <v>97</v>
      </c>
    </row>
    <row r="17" spans="1:8" s="2" customFormat="1" ht="15">
      <c r="A17" s="17" t="s">
        <v>30</v>
      </c>
      <c r="B17" s="18" t="s">
        <v>20</v>
      </c>
      <c r="C17" s="15" t="s">
        <v>16</v>
      </c>
      <c r="D17" s="19">
        <v>1</v>
      </c>
      <c r="E17" s="23">
        <v>827.84</v>
      </c>
      <c r="F17" s="23"/>
      <c r="G17" s="23">
        <f t="shared" si="0"/>
        <v>827.84</v>
      </c>
      <c r="H17" s="19"/>
    </row>
    <row r="18" spans="1:8" s="2" customFormat="1" ht="15">
      <c r="A18" s="17" t="s">
        <v>31</v>
      </c>
      <c r="B18" s="18" t="s">
        <v>51</v>
      </c>
      <c r="C18" s="15" t="s">
        <v>16</v>
      </c>
      <c r="D18" s="19">
        <v>1</v>
      </c>
      <c r="E18" s="23"/>
      <c r="F18" s="23"/>
      <c r="G18" s="23">
        <f t="shared" si="0"/>
        <v>0</v>
      </c>
      <c r="H18" s="19"/>
    </row>
    <row r="19" spans="1:8" s="2" customFormat="1" ht="15">
      <c r="A19" s="17" t="s">
        <v>134</v>
      </c>
      <c r="B19" s="18" t="s">
        <v>52</v>
      </c>
      <c r="C19" s="15" t="s">
        <v>16</v>
      </c>
      <c r="D19" s="19">
        <v>1</v>
      </c>
      <c r="E19" s="23">
        <v>3053</v>
      </c>
      <c r="F19" s="23"/>
      <c r="G19" s="23">
        <f t="shared" si="0"/>
        <v>3053</v>
      </c>
      <c r="H19" s="19"/>
    </row>
    <row r="20" spans="1:8" s="2" customFormat="1" ht="15">
      <c r="A20" s="17" t="s">
        <v>135</v>
      </c>
      <c r="B20" s="33" t="s">
        <v>105</v>
      </c>
      <c r="C20" s="15" t="s">
        <v>16</v>
      </c>
      <c r="D20" s="19">
        <v>1</v>
      </c>
      <c r="E20" s="23">
        <v>2853.55</v>
      </c>
      <c r="F20" s="23"/>
      <c r="G20" s="23">
        <f t="shared" si="0"/>
        <v>2853.55</v>
      </c>
      <c r="H20" s="19"/>
    </row>
    <row r="21" spans="1:8" s="2" customFormat="1" ht="15">
      <c r="A21" s="17" t="s">
        <v>189</v>
      </c>
      <c r="B21" s="33" t="s">
        <v>106</v>
      </c>
      <c r="C21" s="15" t="s">
        <v>16</v>
      </c>
      <c r="D21" s="19">
        <v>1</v>
      </c>
      <c r="E21" s="23"/>
      <c r="F21" s="23"/>
      <c r="G21" s="23">
        <f t="shared" si="0"/>
        <v>0</v>
      </c>
      <c r="H21" s="19"/>
    </row>
    <row r="22" spans="1:8" s="2" customFormat="1" ht="15">
      <c r="A22" s="17" t="s">
        <v>190</v>
      </c>
      <c r="B22" s="33" t="s">
        <v>109</v>
      </c>
      <c r="C22" s="15" t="s">
        <v>16</v>
      </c>
      <c r="D22" s="19">
        <v>1</v>
      </c>
      <c r="E22" s="23">
        <v>2308.74</v>
      </c>
      <c r="F22" s="23"/>
      <c r="G22" s="23">
        <f t="shared" si="0"/>
        <v>2308.74</v>
      </c>
      <c r="H22" s="19"/>
    </row>
    <row r="23" spans="1:8" s="2" customFormat="1" ht="15">
      <c r="A23" s="17" t="s">
        <v>191</v>
      </c>
      <c r="B23" s="33" t="s">
        <v>107</v>
      </c>
      <c r="C23" s="15" t="s">
        <v>16</v>
      </c>
      <c r="D23" s="19">
        <v>1</v>
      </c>
      <c r="E23" s="23"/>
      <c r="F23" s="23"/>
      <c r="G23" s="23">
        <f t="shared" si="0"/>
        <v>0</v>
      </c>
      <c r="H23" s="19"/>
    </row>
    <row r="24" spans="1:8" s="2" customFormat="1" ht="15">
      <c r="A24" s="17" t="s">
        <v>192</v>
      </c>
      <c r="B24" s="18" t="s">
        <v>48</v>
      </c>
      <c r="C24" s="15"/>
      <c r="D24" s="19"/>
      <c r="E24" s="23">
        <f>E25+E26</f>
        <v>0</v>
      </c>
      <c r="F24" s="23">
        <f>F25+F26</f>
        <v>0</v>
      </c>
      <c r="G24" s="23">
        <f>G25+G26</f>
        <v>0</v>
      </c>
      <c r="H24" s="19"/>
    </row>
    <row r="25" spans="1:8" s="4" customFormat="1" ht="15">
      <c r="A25" s="55"/>
      <c r="B25" s="34"/>
      <c r="C25" s="160"/>
      <c r="D25" s="35"/>
      <c r="E25" s="36"/>
      <c r="F25" s="36"/>
      <c r="G25" s="36">
        <f>E25+F25</f>
        <v>0</v>
      </c>
      <c r="H25" s="35"/>
    </row>
    <row r="26" spans="1:8" s="4" customFormat="1" ht="15">
      <c r="A26" s="55"/>
      <c r="B26" s="34"/>
      <c r="C26" s="160" t="s">
        <v>9</v>
      </c>
      <c r="D26" s="35"/>
      <c r="E26" s="161"/>
      <c r="F26" s="36"/>
      <c r="G26" s="36">
        <f>E26+F26</f>
        <v>0</v>
      </c>
      <c r="H26" s="35"/>
    </row>
    <row r="27" spans="1:8" s="2" customFormat="1" ht="17.25" customHeight="1">
      <c r="A27" s="61" t="s">
        <v>33</v>
      </c>
      <c r="B27" s="62"/>
      <c r="C27" s="170"/>
      <c r="D27" s="135"/>
      <c r="E27" s="171">
        <f>E11+E12+E13+E14+E15+E16+E17+E18+E19+E24+E20+E21+E22+E23</f>
        <v>66804.7</v>
      </c>
      <c r="F27" s="171">
        <f>F11+F12+F13+F14+F15+F16+F17+F18+F19+F24+F20+F21+F22+F23</f>
        <v>618.75</v>
      </c>
      <c r="G27" s="171">
        <f>G11+G12+G13+G14+G15+G16+G17+G18+G19+G24+G20+G21+G22+G23</f>
        <v>67423.45</v>
      </c>
      <c r="H27" s="41"/>
    </row>
    <row r="28" s="2" customFormat="1" ht="8.25" customHeight="1">
      <c r="A28" s="53"/>
    </row>
    <row r="29" spans="1:8" s="2" customFormat="1" ht="15">
      <c r="A29" s="148" t="s">
        <v>32</v>
      </c>
      <c r="B29" s="148"/>
      <c r="C29" s="148"/>
      <c r="D29" s="148"/>
      <c r="E29" s="148"/>
      <c r="F29" s="148"/>
      <c r="G29" s="148"/>
      <c r="H29" s="148"/>
    </row>
    <row r="30" spans="1:8" s="2" customFormat="1" ht="36.75" customHeight="1">
      <c r="A30" s="17" t="s">
        <v>3</v>
      </c>
      <c r="B30" s="15" t="s">
        <v>40</v>
      </c>
      <c r="C30" s="15" t="s">
        <v>5</v>
      </c>
      <c r="D30" s="15" t="s">
        <v>6</v>
      </c>
      <c r="E30" s="16" t="s">
        <v>17</v>
      </c>
      <c r="F30" s="16" t="s">
        <v>39</v>
      </c>
      <c r="G30" s="15" t="s">
        <v>18</v>
      </c>
      <c r="H30" s="15" t="s">
        <v>7</v>
      </c>
    </row>
    <row r="31" spans="1:8" s="2" customFormat="1" ht="25.5" customHeight="1">
      <c r="A31" s="17" t="s">
        <v>34</v>
      </c>
      <c r="B31" s="18" t="s">
        <v>150</v>
      </c>
      <c r="C31" s="15" t="s">
        <v>16</v>
      </c>
      <c r="D31" s="19">
        <v>1</v>
      </c>
      <c r="E31" s="23">
        <f>1080.89+31848.03</f>
        <v>32928.92</v>
      </c>
      <c r="F31" s="23">
        <v>318</v>
      </c>
      <c r="G31" s="23">
        <f aca="true" t="shared" si="1" ref="G31:G37">E31+F31</f>
        <v>33246.92</v>
      </c>
      <c r="H31" s="19"/>
    </row>
    <row r="32" spans="1:8" s="2" customFormat="1" ht="26.25" customHeight="1">
      <c r="A32" s="17" t="s">
        <v>35</v>
      </c>
      <c r="B32" s="18" t="s">
        <v>151</v>
      </c>
      <c r="C32" s="15" t="s">
        <v>16</v>
      </c>
      <c r="D32" s="19">
        <v>1</v>
      </c>
      <c r="E32" s="23">
        <v>3681.99</v>
      </c>
      <c r="F32" s="23"/>
      <c r="G32" s="23">
        <f t="shared" si="1"/>
        <v>3681.99</v>
      </c>
      <c r="H32" s="19"/>
    </row>
    <row r="33" spans="1:8" s="2" customFormat="1" ht="15">
      <c r="A33" s="17" t="s">
        <v>36</v>
      </c>
      <c r="B33" s="155" t="s">
        <v>129</v>
      </c>
      <c r="C33" s="15"/>
      <c r="D33" s="19"/>
      <c r="E33" s="23"/>
      <c r="F33" s="23"/>
      <c r="G33" s="23">
        <f t="shared" si="1"/>
        <v>0</v>
      </c>
      <c r="H33" s="19"/>
    </row>
    <row r="34" spans="1:8" s="2" customFormat="1" ht="15">
      <c r="A34" s="17" t="s">
        <v>37</v>
      </c>
      <c r="B34" s="18" t="s">
        <v>53</v>
      </c>
      <c r="C34" s="15" t="s">
        <v>16</v>
      </c>
      <c r="D34" s="19">
        <v>1</v>
      </c>
      <c r="E34" s="23">
        <v>4384.92</v>
      </c>
      <c r="F34" s="23"/>
      <c r="G34" s="23">
        <f t="shared" si="1"/>
        <v>4384.92</v>
      </c>
      <c r="H34" s="19"/>
    </row>
    <row r="35" spans="1:8" s="2" customFormat="1" ht="15">
      <c r="A35" s="17" t="s">
        <v>137</v>
      </c>
      <c r="B35" s="18" t="s">
        <v>48</v>
      </c>
      <c r="C35" s="15" t="s">
        <v>9</v>
      </c>
      <c r="D35" s="19">
        <v>1</v>
      </c>
      <c r="E35" s="23">
        <f>E36+E37</f>
        <v>0</v>
      </c>
      <c r="F35" s="23">
        <f>F36+F37</f>
        <v>0</v>
      </c>
      <c r="G35" s="23">
        <f t="shared" si="1"/>
        <v>0</v>
      </c>
      <c r="H35" s="19"/>
    </row>
    <row r="36" spans="1:8" s="4" customFormat="1" ht="15">
      <c r="A36" s="55"/>
      <c r="B36" s="34"/>
      <c r="C36" s="160"/>
      <c r="D36" s="35"/>
      <c r="E36" s="36"/>
      <c r="F36" s="36"/>
      <c r="G36" s="36">
        <f t="shared" si="1"/>
        <v>0</v>
      </c>
      <c r="H36" s="35"/>
    </row>
    <row r="37" spans="1:9" s="4" customFormat="1" ht="15">
      <c r="A37" s="55"/>
      <c r="B37" s="34"/>
      <c r="C37" s="160"/>
      <c r="D37" s="35"/>
      <c r="E37" s="36"/>
      <c r="F37" s="36"/>
      <c r="G37" s="36">
        <f t="shared" si="1"/>
        <v>0</v>
      </c>
      <c r="H37" s="35"/>
      <c r="I37" s="4" t="s">
        <v>97</v>
      </c>
    </row>
    <row r="38" spans="1:8" s="2" customFormat="1" ht="15">
      <c r="A38" s="227" t="s">
        <v>10</v>
      </c>
      <c r="B38" s="228"/>
      <c r="C38" s="229"/>
      <c r="D38" s="41"/>
      <c r="E38" s="171">
        <f>E31+E32+E33+E34+E35</f>
        <v>40995.829999999994</v>
      </c>
      <c r="F38" s="171">
        <f>F31+F32+F33+F34+F35</f>
        <v>318</v>
      </c>
      <c r="G38" s="171">
        <f>G31+G32+G33+G34+G35</f>
        <v>41313.829999999994</v>
      </c>
      <c r="H38" s="41"/>
    </row>
    <row r="39" s="2" customFormat="1" ht="9.75" customHeight="1">
      <c r="A39" s="53"/>
    </row>
    <row r="40" spans="1:8" s="2" customFormat="1" ht="15">
      <c r="A40" s="219" t="s">
        <v>38</v>
      </c>
      <c r="B40" s="219"/>
      <c r="C40" s="219"/>
      <c r="D40" s="219"/>
      <c r="E40" s="219"/>
      <c r="F40" s="219"/>
      <c r="G40" s="219"/>
      <c r="H40" s="219"/>
    </row>
    <row r="41" spans="1:8" s="2" customFormat="1" ht="36" customHeight="1">
      <c r="A41" s="17" t="s">
        <v>3</v>
      </c>
      <c r="B41" s="15" t="s">
        <v>40</v>
      </c>
      <c r="C41" s="15" t="s">
        <v>5</v>
      </c>
      <c r="D41" s="15" t="s">
        <v>6</v>
      </c>
      <c r="E41" s="16" t="s">
        <v>17</v>
      </c>
      <c r="F41" s="16" t="s">
        <v>39</v>
      </c>
      <c r="G41" s="15" t="s">
        <v>18</v>
      </c>
      <c r="H41" s="15" t="s">
        <v>7</v>
      </c>
    </row>
    <row r="42" spans="1:8" s="2" customFormat="1" ht="26.25" customHeight="1">
      <c r="A42" s="17" t="s">
        <v>42</v>
      </c>
      <c r="B42" s="18" t="s">
        <v>153</v>
      </c>
      <c r="C42" s="15" t="s">
        <v>16</v>
      </c>
      <c r="D42" s="15">
        <v>1</v>
      </c>
      <c r="E42" s="25">
        <v>4779.23</v>
      </c>
      <c r="F42" s="25"/>
      <c r="G42" s="26">
        <f>E42+F42</f>
        <v>4779.23</v>
      </c>
      <c r="H42" s="19"/>
    </row>
    <row r="43" spans="1:8" s="2" customFormat="1" ht="15">
      <c r="A43" s="17"/>
      <c r="B43" s="155" t="s">
        <v>129</v>
      </c>
      <c r="C43" s="15"/>
      <c r="D43" s="15"/>
      <c r="E43" s="25"/>
      <c r="F43" s="25"/>
      <c r="G43" s="26">
        <f>E43+F43</f>
        <v>0</v>
      </c>
      <c r="H43" s="19"/>
    </row>
    <row r="44" spans="1:8" s="2" customFormat="1" ht="15">
      <c r="A44" s="17" t="s">
        <v>43</v>
      </c>
      <c r="B44" s="18" t="s">
        <v>48</v>
      </c>
      <c r="C44" s="15"/>
      <c r="D44" s="15"/>
      <c r="E44" s="25"/>
      <c r="F44" s="25"/>
      <c r="G44" s="26">
        <f>E44+F44</f>
        <v>0</v>
      </c>
      <c r="H44" s="19"/>
    </row>
    <row r="45" spans="1:11" s="2" customFormat="1" ht="15">
      <c r="A45" s="17"/>
      <c r="B45" s="18"/>
      <c r="C45" s="15"/>
      <c r="D45" s="19"/>
      <c r="E45" s="23"/>
      <c r="F45" s="26"/>
      <c r="G45" s="37">
        <f>E45+F45</f>
        <v>0</v>
      </c>
      <c r="H45" s="19"/>
      <c r="K45" s="12">
        <f>F27+F38+F47</f>
        <v>936.75</v>
      </c>
    </row>
    <row r="46" spans="1:8" s="2" customFormat="1" ht="15">
      <c r="A46" s="17"/>
      <c r="B46" s="18"/>
      <c r="C46" s="19"/>
      <c r="D46" s="19"/>
      <c r="E46" s="23"/>
      <c r="F46" s="26"/>
      <c r="G46" s="37">
        <f>E46+F46</f>
        <v>0</v>
      </c>
      <c r="H46" s="19"/>
    </row>
    <row r="47" spans="1:8" s="2" customFormat="1" ht="15">
      <c r="A47" s="211" t="s">
        <v>41</v>
      </c>
      <c r="B47" s="212"/>
      <c r="C47" s="213"/>
      <c r="D47" s="41"/>
      <c r="E47" s="42">
        <v>4448.5</v>
      </c>
      <c r="F47" s="44">
        <f>SUM(F42:F44)</f>
        <v>0</v>
      </c>
      <c r="G47" s="42">
        <f>SUM(G42:G46)</f>
        <v>4779.23</v>
      </c>
      <c r="H47" s="41"/>
    </row>
    <row r="48" spans="1:8" s="2" customFormat="1" ht="7.5" customHeight="1">
      <c r="A48" s="54"/>
      <c r="B48" s="8"/>
      <c r="C48" s="8"/>
      <c r="D48" s="9"/>
      <c r="E48" s="9"/>
      <c r="F48" s="10"/>
      <c r="G48" s="9"/>
      <c r="H48" s="11"/>
    </row>
    <row r="49" spans="1:8" s="7" customFormat="1" ht="15" customHeight="1">
      <c r="A49" s="219" t="s">
        <v>154</v>
      </c>
      <c r="B49" s="219"/>
      <c r="C49" s="219"/>
      <c r="D49" s="219"/>
      <c r="E49" s="219"/>
      <c r="F49" s="219"/>
      <c r="G49" s="219"/>
      <c r="H49" s="58"/>
    </row>
    <row r="50" spans="1:7" s="2" customFormat="1" ht="24.75">
      <c r="A50" s="17" t="s">
        <v>3</v>
      </c>
      <c r="B50" s="15" t="s">
        <v>4</v>
      </c>
      <c r="C50" s="15" t="s">
        <v>5</v>
      </c>
      <c r="D50" s="15" t="s">
        <v>6</v>
      </c>
      <c r="E50" s="16" t="s">
        <v>45</v>
      </c>
      <c r="F50" s="220" t="s">
        <v>46</v>
      </c>
      <c r="G50" s="221"/>
    </row>
    <row r="51" spans="1:7" s="2" customFormat="1" ht="25.5" customHeight="1">
      <c r="A51" s="17" t="s">
        <v>67</v>
      </c>
      <c r="B51" s="27" t="s">
        <v>152</v>
      </c>
      <c r="C51" s="29" t="s">
        <v>16</v>
      </c>
      <c r="D51" s="28">
        <v>1</v>
      </c>
      <c r="E51" s="30">
        <f>5883.8*2.274</f>
        <v>13379.7612</v>
      </c>
      <c r="F51" s="30"/>
      <c r="G51" s="30"/>
    </row>
    <row r="52" spans="1:7" s="2" customFormat="1" ht="15">
      <c r="A52" s="17" t="s">
        <v>68</v>
      </c>
      <c r="B52" s="28" t="s">
        <v>54</v>
      </c>
      <c r="C52" s="29" t="s">
        <v>16</v>
      </c>
      <c r="D52" s="28">
        <v>1</v>
      </c>
      <c r="E52" s="30">
        <f>5883.8*0.4</f>
        <v>2353.52</v>
      </c>
      <c r="F52" s="30"/>
      <c r="G52" s="30"/>
    </row>
    <row r="53" spans="1:7" s="2" customFormat="1" ht="15">
      <c r="A53" s="17" t="s">
        <v>69</v>
      </c>
      <c r="B53" s="28" t="s">
        <v>55</v>
      </c>
      <c r="C53" s="29" t="s">
        <v>16</v>
      </c>
      <c r="D53" s="28">
        <v>1</v>
      </c>
      <c r="E53" s="30">
        <f>5883.8*0.21</f>
        <v>1235.598</v>
      </c>
      <c r="F53" s="30"/>
      <c r="G53" s="30"/>
    </row>
    <row r="54" spans="1:7" s="2" customFormat="1" ht="15">
      <c r="A54" s="17" t="s">
        <v>70</v>
      </c>
      <c r="B54" s="28" t="s">
        <v>56</v>
      </c>
      <c r="C54" s="29" t="s">
        <v>16</v>
      </c>
      <c r="D54" s="28">
        <v>1</v>
      </c>
      <c r="E54" s="30"/>
      <c r="F54" s="30"/>
      <c r="G54" s="30"/>
    </row>
    <row r="55" spans="1:7" s="2" customFormat="1" ht="15">
      <c r="A55" s="17" t="s">
        <v>72</v>
      </c>
      <c r="B55" s="18" t="s">
        <v>75</v>
      </c>
      <c r="C55" s="29" t="s">
        <v>16</v>
      </c>
      <c r="D55" s="28">
        <v>1</v>
      </c>
      <c r="E55" s="30">
        <f>E56+E57+E58+E59+E60+E61+E62+E63+E64</f>
        <v>0</v>
      </c>
      <c r="F55" s="30"/>
      <c r="G55" s="30"/>
    </row>
    <row r="56" spans="1:7" s="4" customFormat="1" ht="15">
      <c r="A56" s="55"/>
      <c r="B56" s="34" t="s">
        <v>64</v>
      </c>
      <c r="C56" s="29" t="s">
        <v>16</v>
      </c>
      <c r="D56" s="28">
        <v>1</v>
      </c>
      <c r="E56" s="36"/>
      <c r="F56" s="37"/>
      <c r="G56" s="36"/>
    </row>
    <row r="57" spans="1:11" s="4" customFormat="1" ht="15">
      <c r="A57" s="55"/>
      <c r="B57" s="34" t="s">
        <v>65</v>
      </c>
      <c r="C57" s="29" t="s">
        <v>16</v>
      </c>
      <c r="D57" s="28">
        <v>1</v>
      </c>
      <c r="E57" s="36"/>
      <c r="F57" s="37"/>
      <c r="G57" s="36"/>
      <c r="J57" s="38"/>
      <c r="K57" s="39"/>
    </row>
    <row r="58" spans="1:7" s="4" customFormat="1" ht="24.75">
      <c r="A58" s="55"/>
      <c r="B58" s="34" t="s">
        <v>66</v>
      </c>
      <c r="C58" s="29" t="s">
        <v>16</v>
      </c>
      <c r="D58" s="28">
        <v>1</v>
      </c>
      <c r="E58" s="36"/>
      <c r="F58" s="37"/>
      <c r="G58" s="36"/>
    </row>
    <row r="59" spans="1:7" s="4" customFormat="1" ht="15">
      <c r="A59" s="55"/>
      <c r="B59" s="34" t="s">
        <v>71</v>
      </c>
      <c r="C59" s="29" t="s">
        <v>16</v>
      </c>
      <c r="D59" s="28">
        <v>1</v>
      </c>
      <c r="E59" s="35"/>
      <c r="F59" s="40"/>
      <c r="G59" s="35"/>
    </row>
    <row r="60" spans="1:7" s="4" customFormat="1" ht="15">
      <c r="A60" s="55"/>
      <c r="B60" s="34" t="s">
        <v>76</v>
      </c>
      <c r="C60" s="29" t="s">
        <v>16</v>
      </c>
      <c r="D60" s="28">
        <v>1</v>
      </c>
      <c r="E60" s="35"/>
      <c r="F60" s="40"/>
      <c r="G60" s="35"/>
    </row>
    <row r="61" spans="1:7" s="4" customFormat="1" ht="15">
      <c r="A61" s="55"/>
      <c r="B61" s="34" t="s">
        <v>74</v>
      </c>
      <c r="C61" s="29" t="s">
        <v>16</v>
      </c>
      <c r="D61" s="28">
        <v>1</v>
      </c>
      <c r="E61" s="35"/>
      <c r="F61" s="40"/>
      <c r="G61" s="35"/>
    </row>
    <row r="62" spans="1:7" s="4" customFormat="1" ht="15">
      <c r="A62" s="55"/>
      <c r="B62" s="34" t="s">
        <v>77</v>
      </c>
      <c r="C62" s="29" t="s">
        <v>16</v>
      </c>
      <c r="D62" s="28">
        <v>1</v>
      </c>
      <c r="E62" s="35"/>
      <c r="F62" s="40"/>
      <c r="G62" s="35"/>
    </row>
    <row r="63" spans="1:7" s="4" customFormat="1" ht="15">
      <c r="A63" s="55"/>
      <c r="B63" s="34" t="s">
        <v>78</v>
      </c>
      <c r="C63" s="29" t="s">
        <v>16</v>
      </c>
      <c r="D63" s="28">
        <v>1</v>
      </c>
      <c r="E63" s="35"/>
      <c r="F63" s="40"/>
      <c r="G63" s="35"/>
    </row>
    <row r="64" spans="1:9" s="4" customFormat="1" ht="15">
      <c r="A64" s="55"/>
      <c r="B64" s="34"/>
      <c r="C64" s="35"/>
      <c r="D64" s="35"/>
      <c r="E64" s="35"/>
      <c r="F64" s="40"/>
      <c r="G64" s="35"/>
      <c r="I64" s="39"/>
    </row>
    <row r="65" spans="1:7" s="2" customFormat="1" ht="15">
      <c r="A65" s="180" t="s">
        <v>155</v>
      </c>
      <c r="B65" s="181"/>
      <c r="C65" s="182"/>
      <c r="D65" s="41"/>
      <c r="E65" s="42">
        <f>E51+E52+E53+E54+E55</f>
        <v>16968.879200000003</v>
      </c>
      <c r="F65" s="43"/>
      <c r="G65" s="41"/>
    </row>
    <row r="66" spans="1:7" s="52" customFormat="1" ht="25.5">
      <c r="A66" s="56" t="s">
        <v>156</v>
      </c>
      <c r="B66" s="47" t="s">
        <v>57</v>
      </c>
      <c r="C66" s="48" t="s">
        <v>16</v>
      </c>
      <c r="D66" s="49">
        <v>1</v>
      </c>
      <c r="E66" s="51">
        <v>4448.5</v>
      </c>
      <c r="F66" s="50"/>
      <c r="G66" s="51"/>
    </row>
    <row r="67" spans="1:7" s="46" customFormat="1" ht="15" customHeight="1">
      <c r="A67" s="222" t="s">
        <v>157</v>
      </c>
      <c r="B67" s="223"/>
      <c r="C67" s="223"/>
      <c r="D67" s="223"/>
      <c r="E67" s="223"/>
      <c r="F67" s="223"/>
      <c r="G67" s="224"/>
    </row>
    <row r="68" spans="1:7" s="2" customFormat="1" ht="33.75" customHeight="1">
      <c r="A68" s="17" t="s">
        <v>3</v>
      </c>
      <c r="B68" s="15" t="s">
        <v>4</v>
      </c>
      <c r="C68" s="15" t="s">
        <v>5</v>
      </c>
      <c r="D68" s="15" t="s">
        <v>6</v>
      </c>
      <c r="E68" s="16" t="s">
        <v>45</v>
      </c>
      <c r="F68" s="220" t="s">
        <v>46</v>
      </c>
      <c r="G68" s="221"/>
    </row>
    <row r="69" spans="1:7" s="2" customFormat="1" ht="25.5" customHeight="1">
      <c r="A69" s="17"/>
      <c r="B69" s="33" t="s">
        <v>58</v>
      </c>
      <c r="C69" s="29" t="s">
        <v>16</v>
      </c>
      <c r="D69" s="28">
        <v>1</v>
      </c>
      <c r="E69" s="30">
        <v>41328.39</v>
      </c>
      <c r="F69" s="30"/>
      <c r="G69" s="30"/>
    </row>
    <row r="70" spans="1:7" s="2" customFormat="1" ht="15">
      <c r="A70" s="17"/>
      <c r="B70" s="33" t="s">
        <v>59</v>
      </c>
      <c r="C70" s="29" t="s">
        <v>16</v>
      </c>
      <c r="D70" s="28">
        <v>1</v>
      </c>
      <c r="E70" s="30">
        <v>32563.21</v>
      </c>
      <c r="F70" s="30"/>
      <c r="G70" s="30"/>
    </row>
    <row r="71" spans="1:7" s="2" customFormat="1" ht="15">
      <c r="A71" s="17"/>
      <c r="B71" s="33" t="s">
        <v>60</v>
      </c>
      <c r="C71" s="29" t="s">
        <v>16</v>
      </c>
      <c r="D71" s="28">
        <v>1</v>
      </c>
      <c r="E71" s="30">
        <v>19562.1</v>
      </c>
      <c r="F71" s="30"/>
      <c r="G71" s="30"/>
    </row>
    <row r="72" spans="1:7" s="2" customFormat="1" ht="15">
      <c r="A72" s="17"/>
      <c r="B72" s="33" t="s">
        <v>61</v>
      </c>
      <c r="C72" s="29" t="s">
        <v>16</v>
      </c>
      <c r="D72" s="28">
        <v>1</v>
      </c>
      <c r="E72" s="30">
        <v>10129.38</v>
      </c>
      <c r="F72" s="30"/>
      <c r="G72" s="30"/>
    </row>
    <row r="73" spans="1:9" s="2" customFormat="1" ht="15">
      <c r="A73" s="17"/>
      <c r="B73" s="33" t="s">
        <v>62</v>
      </c>
      <c r="C73" s="29" t="s">
        <v>16</v>
      </c>
      <c r="D73" s="19">
        <v>1</v>
      </c>
      <c r="E73" s="30">
        <v>12992.31</v>
      </c>
      <c r="F73" s="26"/>
      <c r="G73" s="23"/>
      <c r="I73" s="13">
        <f>E72+E73</f>
        <v>23121.69</v>
      </c>
    </row>
    <row r="74" spans="1:7" s="2" customFormat="1" ht="15">
      <c r="A74" s="17"/>
      <c r="B74" s="18"/>
      <c r="C74" s="29"/>
      <c r="D74" s="28"/>
      <c r="E74" s="30"/>
      <c r="F74" s="30"/>
      <c r="G74" s="30"/>
    </row>
    <row r="75" spans="1:7" s="2" customFormat="1" ht="15">
      <c r="A75" s="215" t="s">
        <v>63</v>
      </c>
      <c r="B75" s="216"/>
      <c r="C75" s="217"/>
      <c r="D75" s="19"/>
      <c r="E75" s="30">
        <f>SUM(E69:E74)</f>
        <v>116575.39000000001</v>
      </c>
      <c r="F75" s="21"/>
      <c r="G75" s="19"/>
    </row>
    <row r="76" spans="1:7" s="2" customFormat="1" ht="15">
      <c r="A76" s="54"/>
      <c r="B76" s="8"/>
      <c r="C76" s="8"/>
      <c r="D76" s="31"/>
      <c r="E76" s="45"/>
      <c r="F76" s="32"/>
      <c r="G76" s="31"/>
    </row>
    <row r="77" spans="1:7" s="2" customFormat="1" ht="15">
      <c r="A77" s="54"/>
      <c r="B77" s="8"/>
      <c r="C77" s="8"/>
      <c r="D77" s="31"/>
      <c r="E77" s="45"/>
      <c r="F77" s="32"/>
      <c r="G77" s="31"/>
    </row>
    <row r="78" spans="1:7" s="2" customFormat="1" ht="15">
      <c r="A78" s="54"/>
      <c r="B78" s="8"/>
      <c r="C78" s="8"/>
      <c r="D78" s="31"/>
      <c r="E78" s="45"/>
      <c r="F78" s="32"/>
      <c r="G78" s="31"/>
    </row>
    <row r="79" spans="1:7" s="2" customFormat="1" ht="15">
      <c r="A79" s="54"/>
      <c r="B79" s="8"/>
      <c r="C79" s="8"/>
      <c r="D79" s="31"/>
      <c r="E79" s="45"/>
      <c r="F79" s="32"/>
      <c r="G79" s="31"/>
    </row>
    <row r="80" s="2" customFormat="1" ht="15">
      <c r="A80" s="53"/>
    </row>
    <row r="81" spans="1:7" s="2" customFormat="1" ht="15">
      <c r="A81" s="218" t="s">
        <v>11</v>
      </c>
      <c r="B81" s="218"/>
      <c r="C81" s="218"/>
      <c r="D81" s="218"/>
      <c r="E81" s="225">
        <f>G27+G38+G47+E65+E66+E75</f>
        <v>251509.27920000002</v>
      </c>
      <c r="F81" s="225"/>
      <c r="G81" s="225"/>
    </row>
    <row r="82" spans="1:7" s="2" customFormat="1" ht="15">
      <c r="A82" s="53"/>
      <c r="G82" s="13"/>
    </row>
    <row r="83" s="2" customFormat="1" ht="15">
      <c r="A83" s="53"/>
    </row>
    <row r="84" s="2" customFormat="1" ht="15">
      <c r="A84" s="53"/>
    </row>
    <row r="85" s="2" customFormat="1" ht="15">
      <c r="A85" s="53"/>
    </row>
    <row r="86" spans="1:5" s="2" customFormat="1" ht="15">
      <c r="A86" s="226" t="s">
        <v>47</v>
      </c>
      <c r="B86" s="226"/>
      <c r="E86" s="2" t="s">
        <v>12</v>
      </c>
    </row>
    <row r="87" spans="1:5" s="2" customFormat="1" ht="15">
      <c r="A87" s="226" t="s">
        <v>1</v>
      </c>
      <c r="B87" s="226"/>
      <c r="E87" s="2" t="s">
        <v>201</v>
      </c>
    </row>
    <row r="88" spans="1:5" s="2" customFormat="1" ht="30" customHeight="1">
      <c r="A88" s="214" t="s">
        <v>73</v>
      </c>
      <c r="B88" s="214"/>
      <c r="C88" s="22"/>
      <c r="E88" s="2" t="s">
        <v>202</v>
      </c>
    </row>
    <row r="89" s="2" customFormat="1" ht="15">
      <c r="A89" s="53"/>
    </row>
    <row r="90" s="2" customFormat="1" ht="15">
      <c r="A90" s="53"/>
    </row>
    <row r="91" s="2" customFormat="1" ht="15">
      <c r="A91" s="53"/>
    </row>
    <row r="92" s="2" customFormat="1" ht="15">
      <c r="A92" s="53"/>
    </row>
  </sheetData>
  <sheetProtection/>
  <mergeCells count="17">
    <mergeCell ref="A87:B87"/>
    <mergeCell ref="A88:B88"/>
    <mergeCell ref="A81:D81"/>
    <mergeCell ref="A1:B1"/>
    <mergeCell ref="A3:E3"/>
    <mergeCell ref="A5:H5"/>
    <mergeCell ref="A6:H6"/>
    <mergeCell ref="E81:G81"/>
    <mergeCell ref="A86:B86"/>
    <mergeCell ref="F50:G50"/>
    <mergeCell ref="A67:G67"/>
    <mergeCell ref="F68:G68"/>
    <mergeCell ref="A75:C75"/>
    <mergeCell ref="A38:C38"/>
    <mergeCell ref="A40:H40"/>
    <mergeCell ref="A47:C47"/>
    <mergeCell ref="A49:G49"/>
  </mergeCells>
  <printOptions/>
  <pageMargins left="0.46" right="0.24" top="0.3" bottom="1" header="0.21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52">
      <selection activeCell="E20" sqref="E20"/>
    </sheetView>
  </sheetViews>
  <sheetFormatPr defaultColWidth="9.140625" defaultRowHeight="15"/>
  <cols>
    <col min="1" max="1" width="5.140625" style="57" customWidth="1"/>
    <col min="2" max="2" width="34.140625" style="14" customWidth="1"/>
    <col min="3" max="3" width="7.00390625" style="14" customWidth="1"/>
    <col min="4" max="4" width="5.00390625" style="14" customWidth="1"/>
    <col min="5" max="5" width="11.421875" style="14" customWidth="1"/>
    <col min="6" max="6" width="10.57421875" style="14" customWidth="1"/>
    <col min="7" max="7" width="11.8515625" style="14" customWidth="1"/>
    <col min="8" max="8" width="10.00390625" style="14" customWidth="1"/>
    <col min="9" max="16384" width="9.140625" style="14" customWidth="1"/>
  </cols>
  <sheetData>
    <row r="1" spans="1:5" s="2" customFormat="1" ht="15">
      <c r="A1" s="230" t="s">
        <v>0</v>
      </c>
      <c r="B1" s="230"/>
      <c r="C1" s="1" t="s">
        <v>200</v>
      </c>
      <c r="D1" s="1"/>
      <c r="E1" s="1"/>
    </row>
    <row r="2" spans="1:5" s="2" customFormat="1" ht="15">
      <c r="A2" s="60"/>
      <c r="B2" s="60"/>
      <c r="C2" s="1"/>
      <c r="D2" s="1"/>
      <c r="E2" s="1"/>
    </row>
    <row r="3" spans="1:7" s="2" customFormat="1" ht="15">
      <c r="A3" s="230" t="s">
        <v>8</v>
      </c>
      <c r="B3" s="230"/>
      <c r="C3" s="230"/>
      <c r="D3" s="230"/>
      <c r="E3" s="230"/>
      <c r="F3" s="3" t="s">
        <v>49</v>
      </c>
      <c r="G3" s="1"/>
    </row>
    <row r="4" s="2" customFormat="1" ht="15">
      <c r="A4" s="53"/>
    </row>
    <row r="5" spans="1:8" s="2" customFormat="1" ht="18.75">
      <c r="A5" s="231" t="s">
        <v>177</v>
      </c>
      <c r="B5" s="231"/>
      <c r="C5" s="231"/>
      <c r="D5" s="231"/>
      <c r="E5" s="231"/>
      <c r="F5" s="231"/>
      <c r="G5" s="231"/>
      <c r="H5" s="231"/>
    </row>
    <row r="6" spans="1:8" s="2" customFormat="1" ht="15">
      <c r="A6" s="214" t="s">
        <v>149</v>
      </c>
      <c r="B6" s="214"/>
      <c r="C6" s="214"/>
      <c r="D6" s="214"/>
      <c r="E6" s="214"/>
      <c r="F6" s="214"/>
      <c r="G6" s="214"/>
      <c r="H6" s="214"/>
    </row>
    <row r="7" spans="1:6" s="2" customFormat="1" ht="15">
      <c r="A7" s="53"/>
      <c r="B7" s="4" t="s">
        <v>2</v>
      </c>
      <c r="C7" s="4"/>
      <c r="D7" s="5" t="s">
        <v>178</v>
      </c>
      <c r="E7" s="4"/>
      <c r="F7" s="4"/>
    </row>
    <row r="8" s="2" customFormat="1" ht="7.5" customHeight="1">
      <c r="A8" s="53"/>
    </row>
    <row r="9" spans="1:9" s="2" customFormat="1" ht="15">
      <c r="A9" s="148" t="s">
        <v>23</v>
      </c>
      <c r="B9" s="148"/>
      <c r="C9" s="148"/>
      <c r="D9" s="148"/>
      <c r="E9" s="148"/>
      <c r="F9" s="148"/>
      <c r="G9" s="148"/>
      <c r="H9" s="7" t="s">
        <v>50</v>
      </c>
      <c r="I9" s="7"/>
    </row>
    <row r="10" spans="1:12" s="2" customFormat="1" ht="37.5" customHeight="1">
      <c r="A10" s="17" t="s">
        <v>3</v>
      </c>
      <c r="B10" s="15" t="s">
        <v>40</v>
      </c>
      <c r="C10" s="15" t="s">
        <v>5</v>
      </c>
      <c r="D10" s="15" t="s">
        <v>6</v>
      </c>
      <c r="E10" s="16" t="s">
        <v>17</v>
      </c>
      <c r="F10" s="16" t="s">
        <v>39</v>
      </c>
      <c r="G10" s="15" t="s">
        <v>18</v>
      </c>
      <c r="H10" s="15" t="s">
        <v>7</v>
      </c>
      <c r="L10" s="6"/>
    </row>
    <row r="11" spans="1:8" s="2" customFormat="1" ht="28.5" customHeight="1">
      <c r="A11" s="17" t="s">
        <v>24</v>
      </c>
      <c r="B11" s="18" t="s">
        <v>13</v>
      </c>
      <c r="C11" s="15" t="s">
        <v>16</v>
      </c>
      <c r="D11" s="19">
        <v>1</v>
      </c>
      <c r="E11" s="23">
        <v>12889.8</v>
      </c>
      <c r="F11" s="23">
        <v>700</v>
      </c>
      <c r="G11" s="23">
        <f aca="true" t="shared" si="0" ref="G11:G23">E11+F11</f>
        <v>13589.8</v>
      </c>
      <c r="H11" s="19"/>
    </row>
    <row r="12" spans="1:8" s="2" customFormat="1" ht="28.5" customHeight="1">
      <c r="A12" s="17" t="s">
        <v>25</v>
      </c>
      <c r="B12" s="18" t="s">
        <v>14</v>
      </c>
      <c r="C12" s="15" t="s">
        <v>16</v>
      </c>
      <c r="D12" s="19">
        <v>1</v>
      </c>
      <c r="E12" s="23">
        <v>5077.8</v>
      </c>
      <c r="F12" s="23">
        <v>416</v>
      </c>
      <c r="G12" s="23">
        <f t="shared" si="0"/>
        <v>5493.8</v>
      </c>
      <c r="H12" s="19"/>
    </row>
    <row r="13" spans="1:8" s="2" customFormat="1" ht="28.5" customHeight="1">
      <c r="A13" s="17" t="s">
        <v>26</v>
      </c>
      <c r="B13" s="18" t="s">
        <v>22</v>
      </c>
      <c r="C13" s="15" t="s">
        <v>16</v>
      </c>
      <c r="D13" s="19">
        <v>1</v>
      </c>
      <c r="E13" s="23">
        <v>0</v>
      </c>
      <c r="F13" s="23"/>
      <c r="G13" s="23">
        <f t="shared" si="0"/>
        <v>0</v>
      </c>
      <c r="H13" s="19"/>
    </row>
    <row r="14" spans="1:8" s="2" customFormat="1" ht="15">
      <c r="A14" s="17" t="s">
        <v>27</v>
      </c>
      <c r="B14" s="155" t="s">
        <v>129</v>
      </c>
      <c r="C14" s="158"/>
      <c r="D14" s="158"/>
      <c r="E14" s="158"/>
      <c r="F14" s="158">
        <v>125</v>
      </c>
      <c r="G14" s="23">
        <f t="shared" si="0"/>
        <v>125</v>
      </c>
      <c r="H14" s="19"/>
    </row>
    <row r="15" spans="1:8" s="2" customFormat="1" ht="15">
      <c r="A15" s="17" t="s">
        <v>28</v>
      </c>
      <c r="B15" s="18" t="s">
        <v>21</v>
      </c>
      <c r="C15" s="15" t="s">
        <v>16</v>
      </c>
      <c r="D15" s="19">
        <v>1</v>
      </c>
      <c r="E15" s="24">
        <v>25378.66</v>
      </c>
      <c r="F15" s="23"/>
      <c r="G15" s="23">
        <f t="shared" si="0"/>
        <v>25378.66</v>
      </c>
      <c r="H15" s="19"/>
    </row>
    <row r="16" spans="1:11" s="2" customFormat="1" ht="15">
      <c r="A16" s="17" t="s">
        <v>29</v>
      </c>
      <c r="B16" s="18" t="s">
        <v>19</v>
      </c>
      <c r="C16" s="15" t="s">
        <v>16</v>
      </c>
      <c r="D16" s="19">
        <v>1</v>
      </c>
      <c r="E16" s="20">
        <v>14415.31</v>
      </c>
      <c r="F16" s="23"/>
      <c r="G16" s="23">
        <f t="shared" si="0"/>
        <v>14415.31</v>
      </c>
      <c r="H16" s="19"/>
      <c r="K16" s="2" t="s">
        <v>97</v>
      </c>
    </row>
    <row r="17" spans="1:8" s="2" customFormat="1" ht="15">
      <c r="A17" s="17" t="s">
        <v>30</v>
      </c>
      <c r="B17" s="18" t="s">
        <v>20</v>
      </c>
      <c r="C17" s="15" t="s">
        <v>16</v>
      </c>
      <c r="D17" s="19">
        <v>1</v>
      </c>
      <c r="E17" s="23">
        <v>827.84</v>
      </c>
      <c r="F17" s="23"/>
      <c r="G17" s="23">
        <f t="shared" si="0"/>
        <v>827.84</v>
      </c>
      <c r="H17" s="19"/>
    </row>
    <row r="18" spans="1:8" s="2" customFormat="1" ht="15">
      <c r="A18" s="17" t="s">
        <v>31</v>
      </c>
      <c r="B18" s="18" t="s">
        <v>51</v>
      </c>
      <c r="C18" s="15" t="s">
        <v>16</v>
      </c>
      <c r="D18" s="19">
        <v>1</v>
      </c>
      <c r="E18" s="23">
        <v>1478.43</v>
      </c>
      <c r="F18" s="23"/>
      <c r="G18" s="23">
        <f t="shared" si="0"/>
        <v>1478.43</v>
      </c>
      <c r="H18" s="19"/>
    </row>
    <row r="19" spans="1:8" s="2" customFormat="1" ht="15">
      <c r="A19" s="17" t="s">
        <v>134</v>
      </c>
      <c r="B19" s="18" t="s">
        <v>52</v>
      </c>
      <c r="C19" s="15" t="s">
        <v>16</v>
      </c>
      <c r="D19" s="19">
        <v>1</v>
      </c>
      <c r="E19" s="23">
        <v>3182</v>
      </c>
      <c r="F19" s="23"/>
      <c r="G19" s="23">
        <f t="shared" si="0"/>
        <v>3182</v>
      </c>
      <c r="H19" s="19"/>
    </row>
    <row r="20" spans="1:8" s="2" customFormat="1" ht="15">
      <c r="A20" s="17" t="s">
        <v>135</v>
      </c>
      <c r="B20" s="33" t="s">
        <v>105</v>
      </c>
      <c r="C20" s="15" t="s">
        <v>16</v>
      </c>
      <c r="D20" s="19">
        <v>1</v>
      </c>
      <c r="E20" s="23"/>
      <c r="F20" s="23"/>
      <c r="G20" s="23">
        <f t="shared" si="0"/>
        <v>0</v>
      </c>
      <c r="H20" s="19"/>
    </row>
    <row r="21" spans="1:8" s="2" customFormat="1" ht="15">
      <c r="A21" s="17" t="s">
        <v>189</v>
      </c>
      <c r="B21" s="33" t="s">
        <v>106</v>
      </c>
      <c r="C21" s="15" t="s">
        <v>16</v>
      </c>
      <c r="D21" s="19">
        <v>1</v>
      </c>
      <c r="E21" s="23"/>
      <c r="F21" s="23"/>
      <c r="G21" s="23">
        <f t="shared" si="0"/>
        <v>0</v>
      </c>
      <c r="H21" s="19"/>
    </row>
    <row r="22" spans="1:8" s="2" customFormat="1" ht="15">
      <c r="A22" s="17" t="s">
        <v>190</v>
      </c>
      <c r="B22" s="33" t="s">
        <v>109</v>
      </c>
      <c r="C22" s="15" t="s">
        <v>16</v>
      </c>
      <c r="D22" s="19">
        <v>1</v>
      </c>
      <c r="E22" s="23"/>
      <c r="F22" s="23"/>
      <c r="G22" s="23">
        <f t="shared" si="0"/>
        <v>0</v>
      </c>
      <c r="H22" s="19"/>
    </row>
    <row r="23" spans="1:8" s="2" customFormat="1" ht="15">
      <c r="A23" s="17" t="s">
        <v>191</v>
      </c>
      <c r="B23" s="33" t="s">
        <v>107</v>
      </c>
      <c r="C23" s="15" t="s">
        <v>16</v>
      </c>
      <c r="D23" s="19">
        <v>1</v>
      </c>
      <c r="E23" s="23"/>
      <c r="F23" s="23"/>
      <c r="G23" s="23">
        <f t="shared" si="0"/>
        <v>0</v>
      </c>
      <c r="H23" s="19"/>
    </row>
    <row r="24" spans="1:8" s="2" customFormat="1" ht="15">
      <c r="A24" s="17" t="s">
        <v>192</v>
      </c>
      <c r="B24" s="18" t="s">
        <v>48</v>
      </c>
      <c r="C24" s="15"/>
      <c r="D24" s="19"/>
      <c r="E24" s="23">
        <f>E25+E26</f>
        <v>2300</v>
      </c>
      <c r="F24" s="23">
        <f>F25+F26</f>
        <v>0</v>
      </c>
      <c r="G24" s="23">
        <f>G25+G26</f>
        <v>2300</v>
      </c>
      <c r="H24" s="19"/>
    </row>
    <row r="25" spans="1:8" s="4" customFormat="1" ht="15">
      <c r="A25" s="55"/>
      <c r="B25" s="34" t="s">
        <v>163</v>
      </c>
      <c r="C25" s="160"/>
      <c r="D25" s="35"/>
      <c r="E25" s="36">
        <v>2300</v>
      </c>
      <c r="F25" s="36"/>
      <c r="G25" s="36">
        <f>E25+F25</f>
        <v>2300</v>
      </c>
      <c r="H25" s="35"/>
    </row>
    <row r="26" spans="1:8" s="4" customFormat="1" ht="15">
      <c r="A26" s="55"/>
      <c r="B26" s="34"/>
      <c r="C26" s="160" t="s">
        <v>9</v>
      </c>
      <c r="D26" s="35"/>
      <c r="E26" s="161"/>
      <c r="F26" s="36"/>
      <c r="G26" s="36">
        <f>E26+F26</f>
        <v>0</v>
      </c>
      <c r="H26" s="35"/>
    </row>
    <row r="27" spans="1:8" s="2" customFormat="1" ht="17.25" customHeight="1">
      <c r="A27" s="61" t="s">
        <v>33</v>
      </c>
      <c r="B27" s="62"/>
      <c r="C27" s="170"/>
      <c r="D27" s="135"/>
      <c r="E27" s="171">
        <f>E11+E12+E13+E14+E15+E16+E17+E18+E19+E24+E20+E21+E22+E23</f>
        <v>65549.84</v>
      </c>
      <c r="F27" s="171">
        <f>F11+F12+F13+F14+F15+F16+F17+F18+F19+F24+F20+F21+F22+F23</f>
        <v>1241</v>
      </c>
      <c r="G27" s="171">
        <f>G11+G12+G13+G14+G15+G16+G17+G18+G19+G24+G20+G21+G22+G23</f>
        <v>66790.84</v>
      </c>
      <c r="H27" s="41"/>
    </row>
    <row r="28" s="2" customFormat="1" ht="8.25" customHeight="1">
      <c r="A28" s="53"/>
    </row>
    <row r="29" spans="1:8" s="2" customFormat="1" ht="15">
      <c r="A29" s="148" t="s">
        <v>32</v>
      </c>
      <c r="B29" s="148"/>
      <c r="C29" s="148"/>
      <c r="D29" s="148"/>
      <c r="E29" s="148"/>
      <c r="F29" s="148"/>
      <c r="G29" s="148"/>
      <c r="H29" s="148"/>
    </row>
    <row r="30" spans="1:8" s="2" customFormat="1" ht="36.75" customHeight="1">
      <c r="A30" s="17" t="s">
        <v>3</v>
      </c>
      <c r="B30" s="15" t="s">
        <v>40</v>
      </c>
      <c r="C30" s="15" t="s">
        <v>5</v>
      </c>
      <c r="D30" s="15" t="s">
        <v>6</v>
      </c>
      <c r="E30" s="16" t="s">
        <v>17</v>
      </c>
      <c r="F30" s="16" t="s">
        <v>39</v>
      </c>
      <c r="G30" s="15" t="s">
        <v>18</v>
      </c>
      <c r="H30" s="15" t="s">
        <v>7</v>
      </c>
    </row>
    <row r="31" spans="1:8" s="2" customFormat="1" ht="25.5" customHeight="1">
      <c r="A31" s="17" t="s">
        <v>34</v>
      </c>
      <c r="B31" s="18" t="s">
        <v>150</v>
      </c>
      <c r="C31" s="15" t="s">
        <v>16</v>
      </c>
      <c r="D31" s="19">
        <v>1</v>
      </c>
      <c r="E31" s="23">
        <v>23972.05</v>
      </c>
      <c r="F31" s="23">
        <v>376.78</v>
      </c>
      <c r="G31" s="23">
        <f aca="true" t="shared" si="1" ref="G31:G37">E31+F31</f>
        <v>24348.829999999998</v>
      </c>
      <c r="H31" s="19"/>
    </row>
    <row r="32" spans="1:8" s="2" customFormat="1" ht="26.25" customHeight="1">
      <c r="A32" s="17" t="s">
        <v>35</v>
      </c>
      <c r="B32" s="18" t="s">
        <v>151</v>
      </c>
      <c r="C32" s="15" t="s">
        <v>16</v>
      </c>
      <c r="D32" s="19">
        <v>1</v>
      </c>
      <c r="E32" s="23">
        <v>5064.69</v>
      </c>
      <c r="F32" s="23"/>
      <c r="G32" s="23">
        <f t="shared" si="1"/>
        <v>5064.69</v>
      </c>
      <c r="H32" s="19"/>
    </row>
    <row r="33" spans="1:8" s="2" customFormat="1" ht="15">
      <c r="A33" s="17" t="s">
        <v>36</v>
      </c>
      <c r="B33" s="155" t="s">
        <v>129</v>
      </c>
      <c r="C33" s="15"/>
      <c r="D33" s="19"/>
      <c r="E33" s="23"/>
      <c r="F33" s="23">
        <v>30</v>
      </c>
      <c r="G33" s="23">
        <f t="shared" si="1"/>
        <v>30</v>
      </c>
      <c r="H33" s="19"/>
    </row>
    <row r="34" spans="1:8" s="2" customFormat="1" ht="15">
      <c r="A34" s="17" t="s">
        <v>37</v>
      </c>
      <c r="B34" s="18" t="s">
        <v>53</v>
      </c>
      <c r="C34" s="15" t="s">
        <v>16</v>
      </c>
      <c r="D34" s="19">
        <v>1</v>
      </c>
      <c r="E34" s="23"/>
      <c r="F34" s="23"/>
      <c r="G34" s="23">
        <f t="shared" si="1"/>
        <v>0</v>
      </c>
      <c r="H34" s="19"/>
    </row>
    <row r="35" spans="1:8" s="2" customFormat="1" ht="15">
      <c r="A35" s="17" t="s">
        <v>137</v>
      </c>
      <c r="B35" s="18" t="s">
        <v>48</v>
      </c>
      <c r="C35" s="15" t="s">
        <v>9</v>
      </c>
      <c r="D35" s="19">
        <v>1</v>
      </c>
      <c r="E35" s="23">
        <f>E36+E37</f>
        <v>0</v>
      </c>
      <c r="F35" s="23">
        <f>F36+F37</f>
        <v>0</v>
      </c>
      <c r="G35" s="23">
        <f t="shared" si="1"/>
        <v>0</v>
      </c>
      <c r="H35" s="19"/>
    </row>
    <row r="36" spans="1:8" s="4" customFormat="1" ht="15">
      <c r="A36" s="55"/>
      <c r="B36" s="34"/>
      <c r="C36" s="160"/>
      <c r="D36" s="35"/>
      <c r="E36" s="36"/>
      <c r="F36" s="36"/>
      <c r="G36" s="36">
        <f t="shared" si="1"/>
        <v>0</v>
      </c>
      <c r="H36" s="35"/>
    </row>
    <row r="37" spans="1:9" s="4" customFormat="1" ht="15">
      <c r="A37" s="55"/>
      <c r="B37" s="34"/>
      <c r="C37" s="160"/>
      <c r="D37" s="35"/>
      <c r="E37" s="36"/>
      <c r="F37" s="36"/>
      <c r="G37" s="36">
        <f t="shared" si="1"/>
        <v>0</v>
      </c>
      <c r="H37" s="35"/>
      <c r="I37" s="4" t="s">
        <v>97</v>
      </c>
    </row>
    <row r="38" spans="1:8" s="2" customFormat="1" ht="15">
      <c r="A38" s="227" t="s">
        <v>10</v>
      </c>
      <c r="B38" s="228"/>
      <c r="C38" s="229"/>
      <c r="D38" s="41"/>
      <c r="E38" s="171">
        <f>E31+E32+E33+E34+E35</f>
        <v>29036.739999999998</v>
      </c>
      <c r="F38" s="171">
        <f>F31+F32+F33+F34+F35</f>
        <v>406.78</v>
      </c>
      <c r="G38" s="171">
        <f>G31+G32+G33+G34+G35</f>
        <v>29443.519999999997</v>
      </c>
      <c r="H38" s="41"/>
    </row>
    <row r="39" s="2" customFormat="1" ht="9.75" customHeight="1">
      <c r="A39" s="53"/>
    </row>
    <row r="40" spans="1:8" s="2" customFormat="1" ht="15">
      <c r="A40" s="219" t="s">
        <v>38</v>
      </c>
      <c r="B40" s="219"/>
      <c r="C40" s="219"/>
      <c r="D40" s="219"/>
      <c r="E40" s="219"/>
      <c r="F40" s="219"/>
      <c r="G40" s="219"/>
      <c r="H40" s="219"/>
    </row>
    <row r="41" spans="1:8" s="2" customFormat="1" ht="36" customHeight="1">
      <c r="A41" s="17" t="s">
        <v>3</v>
      </c>
      <c r="B41" s="15" t="s">
        <v>40</v>
      </c>
      <c r="C41" s="15" t="s">
        <v>5</v>
      </c>
      <c r="D41" s="15" t="s">
        <v>6</v>
      </c>
      <c r="E41" s="16" t="s">
        <v>17</v>
      </c>
      <c r="F41" s="16" t="s">
        <v>39</v>
      </c>
      <c r="G41" s="15" t="s">
        <v>18</v>
      </c>
      <c r="H41" s="15" t="s">
        <v>7</v>
      </c>
    </row>
    <row r="42" spans="1:8" s="2" customFormat="1" ht="26.25" customHeight="1">
      <c r="A42" s="17" t="s">
        <v>42</v>
      </c>
      <c r="B42" s="18" t="s">
        <v>153</v>
      </c>
      <c r="C42" s="15" t="s">
        <v>16</v>
      </c>
      <c r="D42" s="15">
        <v>1</v>
      </c>
      <c r="E42" s="25">
        <v>2755.31</v>
      </c>
      <c r="F42" s="25"/>
      <c r="G42" s="26">
        <f>E42+F42</f>
        <v>2755.31</v>
      </c>
      <c r="H42" s="19"/>
    </row>
    <row r="43" spans="1:8" s="2" customFormat="1" ht="15">
      <c r="A43" s="17"/>
      <c r="B43" s="155" t="s">
        <v>129</v>
      </c>
      <c r="C43" s="15"/>
      <c r="D43" s="15"/>
      <c r="E43" s="25"/>
      <c r="F43" s="25"/>
      <c r="G43" s="26">
        <f>E43+F43</f>
        <v>0</v>
      </c>
      <c r="H43" s="19"/>
    </row>
    <row r="44" spans="1:8" s="2" customFormat="1" ht="15">
      <c r="A44" s="17" t="s">
        <v>43</v>
      </c>
      <c r="B44" s="18" t="s">
        <v>48</v>
      </c>
      <c r="C44" s="15"/>
      <c r="D44" s="15"/>
      <c r="E44" s="25"/>
      <c r="F44" s="25"/>
      <c r="G44" s="26">
        <f>E44+F44</f>
        <v>0</v>
      </c>
      <c r="H44" s="19"/>
    </row>
    <row r="45" spans="1:11" s="2" customFormat="1" ht="15">
      <c r="A45" s="17"/>
      <c r="B45" s="18"/>
      <c r="C45" s="15"/>
      <c r="D45" s="19"/>
      <c r="E45" s="23"/>
      <c r="F45" s="26"/>
      <c r="G45" s="37">
        <f>E45+F45</f>
        <v>0</v>
      </c>
      <c r="H45" s="19"/>
      <c r="K45" s="12">
        <f>F27+F38+F47</f>
        <v>1647.78</v>
      </c>
    </row>
    <row r="46" spans="1:8" s="2" customFormat="1" ht="15">
      <c r="A46" s="17"/>
      <c r="B46" s="18"/>
      <c r="C46" s="19"/>
      <c r="D46" s="19"/>
      <c r="E46" s="23"/>
      <c r="F46" s="26"/>
      <c r="G46" s="37">
        <f>E46+F46</f>
        <v>0</v>
      </c>
      <c r="H46" s="19"/>
    </row>
    <row r="47" spans="1:8" s="2" customFormat="1" ht="15">
      <c r="A47" s="211" t="s">
        <v>41</v>
      </c>
      <c r="B47" s="212"/>
      <c r="C47" s="213"/>
      <c r="D47" s="41"/>
      <c r="E47" s="42">
        <f>SUM(E42:E46)</f>
        <v>2755.31</v>
      </c>
      <c r="F47" s="44">
        <f>SUM(F42:F44)</f>
        <v>0</v>
      </c>
      <c r="G47" s="42">
        <f>SUM(G42:G46)</f>
        <v>2755.31</v>
      </c>
      <c r="H47" s="41"/>
    </row>
    <row r="48" spans="1:8" s="2" customFormat="1" ht="7.5" customHeight="1">
      <c r="A48" s="54"/>
      <c r="B48" s="8"/>
      <c r="C48" s="8"/>
      <c r="D48" s="9"/>
      <c r="E48" s="9"/>
      <c r="F48" s="10"/>
      <c r="G48" s="9"/>
      <c r="H48" s="11"/>
    </row>
    <row r="49" spans="1:8" s="7" customFormat="1" ht="15" customHeight="1">
      <c r="A49" s="219" t="s">
        <v>154</v>
      </c>
      <c r="B49" s="219"/>
      <c r="C49" s="219"/>
      <c r="D49" s="219"/>
      <c r="E49" s="219"/>
      <c r="F49" s="219"/>
      <c r="G49" s="219"/>
      <c r="H49" s="58"/>
    </row>
    <row r="50" spans="1:7" s="2" customFormat="1" ht="24.75">
      <c r="A50" s="17" t="s">
        <v>3</v>
      </c>
      <c r="B50" s="15" t="s">
        <v>4</v>
      </c>
      <c r="C50" s="15" t="s">
        <v>5</v>
      </c>
      <c r="D50" s="15" t="s">
        <v>6</v>
      </c>
      <c r="E50" s="16" t="s">
        <v>45</v>
      </c>
      <c r="F50" s="220" t="s">
        <v>46</v>
      </c>
      <c r="G50" s="221"/>
    </row>
    <row r="51" spans="1:7" s="2" customFormat="1" ht="25.5" customHeight="1">
      <c r="A51" s="17" t="s">
        <v>67</v>
      </c>
      <c r="B51" s="27" t="s">
        <v>152</v>
      </c>
      <c r="C51" s="29" t="s">
        <v>16</v>
      </c>
      <c r="D51" s="28">
        <v>1</v>
      </c>
      <c r="E51" s="30">
        <f>5883.8*2.274</f>
        <v>13379.7612</v>
      </c>
      <c r="F51" s="30"/>
      <c r="G51" s="30"/>
    </row>
    <row r="52" spans="1:7" s="2" customFormat="1" ht="15">
      <c r="A52" s="17" t="s">
        <v>68</v>
      </c>
      <c r="B52" s="28" t="s">
        <v>54</v>
      </c>
      <c r="C52" s="29" t="s">
        <v>16</v>
      </c>
      <c r="D52" s="28">
        <v>1</v>
      </c>
      <c r="E52" s="30">
        <f>5883.8*0.4</f>
        <v>2353.52</v>
      </c>
      <c r="F52" s="30"/>
      <c r="G52" s="30"/>
    </row>
    <row r="53" spans="1:7" s="2" customFormat="1" ht="15">
      <c r="A53" s="17" t="s">
        <v>69</v>
      </c>
      <c r="B53" s="28" t="s">
        <v>55</v>
      </c>
      <c r="C53" s="29" t="s">
        <v>16</v>
      </c>
      <c r="D53" s="28">
        <v>1</v>
      </c>
      <c r="E53" s="30">
        <f>5883.8*0.21</f>
        <v>1235.598</v>
      </c>
      <c r="F53" s="30"/>
      <c r="G53" s="30"/>
    </row>
    <row r="54" spans="1:7" s="2" customFormat="1" ht="15">
      <c r="A54" s="17" t="s">
        <v>70</v>
      </c>
      <c r="B54" s="28" t="s">
        <v>56</v>
      </c>
      <c r="C54" s="29" t="s">
        <v>16</v>
      </c>
      <c r="D54" s="28">
        <v>1</v>
      </c>
      <c r="E54" s="30">
        <v>1689.32</v>
      </c>
      <c r="F54" s="30"/>
      <c r="G54" s="30"/>
    </row>
    <row r="55" spans="1:7" s="2" customFormat="1" ht="15">
      <c r="A55" s="17" t="s">
        <v>72</v>
      </c>
      <c r="B55" s="18" t="s">
        <v>75</v>
      </c>
      <c r="C55" s="29" t="s">
        <v>16</v>
      </c>
      <c r="D55" s="28">
        <v>1</v>
      </c>
      <c r="E55" s="30">
        <f>E56+E57+E58+E59+E60+E61+E62+E63+E64</f>
        <v>4790.46</v>
      </c>
      <c r="F55" s="30"/>
      <c r="G55" s="30"/>
    </row>
    <row r="56" spans="1:7" s="4" customFormat="1" ht="15">
      <c r="A56" s="55"/>
      <c r="B56" s="34" t="s">
        <v>64</v>
      </c>
      <c r="C56" s="29" t="s">
        <v>16</v>
      </c>
      <c r="D56" s="28">
        <v>1</v>
      </c>
      <c r="E56" s="36">
        <v>1509.76</v>
      </c>
      <c r="F56" s="37"/>
      <c r="G56" s="36"/>
    </row>
    <row r="57" spans="1:11" s="4" customFormat="1" ht="15">
      <c r="A57" s="55"/>
      <c r="B57" s="34" t="s">
        <v>65</v>
      </c>
      <c r="C57" s="29" t="s">
        <v>16</v>
      </c>
      <c r="D57" s="28">
        <v>1</v>
      </c>
      <c r="E57" s="36">
        <v>417.98</v>
      </c>
      <c r="F57" s="37"/>
      <c r="G57" s="36"/>
      <c r="J57" s="38"/>
      <c r="K57" s="39"/>
    </row>
    <row r="58" spans="1:7" s="4" customFormat="1" ht="24.75">
      <c r="A58" s="55"/>
      <c r="B58" s="34" t="s">
        <v>66</v>
      </c>
      <c r="C58" s="29" t="s">
        <v>16</v>
      </c>
      <c r="D58" s="28">
        <v>1</v>
      </c>
      <c r="E58" s="36">
        <f>725.74+968.06</f>
        <v>1693.8</v>
      </c>
      <c r="F58" s="37"/>
      <c r="G58" s="36"/>
    </row>
    <row r="59" spans="1:7" s="4" customFormat="1" ht="15">
      <c r="A59" s="55"/>
      <c r="B59" s="34" t="s">
        <v>71</v>
      </c>
      <c r="C59" s="29" t="s">
        <v>16</v>
      </c>
      <c r="D59" s="28">
        <v>1</v>
      </c>
      <c r="E59" s="35">
        <v>777.43</v>
      </c>
      <c r="F59" s="40"/>
      <c r="G59" s="35"/>
    </row>
    <row r="60" spans="1:7" s="4" customFormat="1" ht="15">
      <c r="A60" s="55"/>
      <c r="B60" s="34" t="s">
        <v>76</v>
      </c>
      <c r="C60" s="29" t="s">
        <v>16</v>
      </c>
      <c r="D60" s="28">
        <v>1</v>
      </c>
      <c r="E60" s="35"/>
      <c r="F60" s="40"/>
      <c r="G60" s="35"/>
    </row>
    <row r="61" spans="1:7" s="4" customFormat="1" ht="15">
      <c r="A61" s="55"/>
      <c r="B61" s="34" t="s">
        <v>74</v>
      </c>
      <c r="C61" s="29" t="s">
        <v>16</v>
      </c>
      <c r="D61" s="28">
        <v>1</v>
      </c>
      <c r="E61" s="35">
        <v>371.5</v>
      </c>
      <c r="F61" s="40"/>
      <c r="G61" s="35"/>
    </row>
    <row r="62" spans="1:7" s="4" customFormat="1" ht="15">
      <c r="A62" s="55"/>
      <c r="B62" s="34" t="s">
        <v>77</v>
      </c>
      <c r="C62" s="29" t="s">
        <v>16</v>
      </c>
      <c r="D62" s="28">
        <v>1</v>
      </c>
      <c r="E62" s="35">
        <v>19.99</v>
      </c>
      <c r="F62" s="40"/>
      <c r="G62" s="35"/>
    </row>
    <row r="63" spans="1:7" s="4" customFormat="1" ht="15">
      <c r="A63" s="55"/>
      <c r="B63" s="34" t="s">
        <v>78</v>
      </c>
      <c r="C63" s="29" t="s">
        <v>16</v>
      </c>
      <c r="D63" s="28">
        <v>1</v>
      </c>
      <c r="E63" s="35"/>
      <c r="F63" s="40"/>
      <c r="G63" s="35"/>
    </row>
    <row r="64" spans="1:9" s="4" customFormat="1" ht="15">
      <c r="A64" s="55"/>
      <c r="B64" s="34"/>
      <c r="C64" s="35"/>
      <c r="D64" s="35"/>
      <c r="E64" s="35"/>
      <c r="F64" s="40"/>
      <c r="G64" s="35"/>
      <c r="I64" s="39"/>
    </row>
    <row r="65" spans="1:7" s="2" customFormat="1" ht="15">
      <c r="A65" s="180" t="s">
        <v>155</v>
      </c>
      <c r="B65" s="181"/>
      <c r="C65" s="182"/>
      <c r="D65" s="41"/>
      <c r="E65" s="42">
        <f>E51+E52+E53+E54+E55</f>
        <v>23448.659200000002</v>
      </c>
      <c r="F65" s="43"/>
      <c r="G65" s="41"/>
    </row>
    <row r="66" spans="1:7" s="52" customFormat="1" ht="25.5">
      <c r="A66" s="56" t="s">
        <v>156</v>
      </c>
      <c r="B66" s="47" t="s">
        <v>57</v>
      </c>
      <c r="C66" s="48" t="s">
        <v>16</v>
      </c>
      <c r="D66" s="49">
        <v>1</v>
      </c>
      <c r="E66" s="51">
        <v>4448.5</v>
      </c>
      <c r="F66" s="50"/>
      <c r="G66" s="51"/>
    </row>
    <row r="67" spans="1:7" s="46" customFormat="1" ht="15" customHeight="1">
      <c r="A67" s="222" t="s">
        <v>157</v>
      </c>
      <c r="B67" s="223"/>
      <c r="C67" s="223"/>
      <c r="D67" s="223"/>
      <c r="E67" s="223"/>
      <c r="F67" s="223"/>
      <c r="G67" s="224"/>
    </row>
    <row r="68" spans="1:7" s="2" customFormat="1" ht="33.75" customHeight="1">
      <c r="A68" s="17" t="s">
        <v>3</v>
      </c>
      <c r="B68" s="15" t="s">
        <v>4</v>
      </c>
      <c r="C68" s="15" t="s">
        <v>5</v>
      </c>
      <c r="D68" s="15" t="s">
        <v>6</v>
      </c>
      <c r="E68" s="16" t="s">
        <v>45</v>
      </c>
      <c r="F68" s="220" t="s">
        <v>46</v>
      </c>
      <c r="G68" s="221"/>
    </row>
    <row r="69" spans="1:7" s="2" customFormat="1" ht="25.5" customHeight="1">
      <c r="A69" s="17"/>
      <c r="B69" s="33" t="s">
        <v>58</v>
      </c>
      <c r="C69" s="29" t="s">
        <v>16</v>
      </c>
      <c r="D69" s="28">
        <v>1</v>
      </c>
      <c r="E69" s="30">
        <v>34333.47</v>
      </c>
      <c r="F69" s="30"/>
      <c r="G69" s="30"/>
    </row>
    <row r="70" spans="1:7" s="2" customFormat="1" ht="15">
      <c r="A70" s="17"/>
      <c r="B70" s="33" t="s">
        <v>59</v>
      </c>
      <c r="C70" s="29" t="s">
        <v>16</v>
      </c>
      <c r="D70" s="28">
        <v>1</v>
      </c>
      <c r="E70" s="30"/>
      <c r="F70" s="30"/>
      <c r="G70" s="30"/>
    </row>
    <row r="71" spans="1:7" s="2" customFormat="1" ht="15">
      <c r="A71" s="17"/>
      <c r="B71" s="33" t="s">
        <v>60</v>
      </c>
      <c r="C71" s="29" t="s">
        <v>16</v>
      </c>
      <c r="D71" s="28">
        <v>1</v>
      </c>
      <c r="E71" s="30">
        <v>22622.36</v>
      </c>
      <c r="F71" s="30"/>
      <c r="G71" s="30"/>
    </row>
    <row r="72" spans="1:7" s="2" customFormat="1" ht="15">
      <c r="A72" s="17"/>
      <c r="B72" s="33" t="s">
        <v>61</v>
      </c>
      <c r="C72" s="29" t="s">
        <v>16</v>
      </c>
      <c r="D72" s="28">
        <v>1</v>
      </c>
      <c r="E72" s="30">
        <v>11558.71</v>
      </c>
      <c r="F72" s="30"/>
      <c r="G72" s="30"/>
    </row>
    <row r="73" spans="1:9" s="2" customFormat="1" ht="15">
      <c r="A73" s="17"/>
      <c r="B73" s="33" t="s">
        <v>62</v>
      </c>
      <c r="C73" s="29" t="s">
        <v>16</v>
      </c>
      <c r="D73" s="19">
        <v>1</v>
      </c>
      <c r="E73" s="30">
        <v>10471.76</v>
      </c>
      <c r="F73" s="26"/>
      <c r="G73" s="23"/>
      <c r="I73" s="13">
        <f>E72+E73</f>
        <v>22030.47</v>
      </c>
    </row>
    <row r="74" spans="1:7" s="2" customFormat="1" ht="15">
      <c r="A74" s="17"/>
      <c r="B74" s="18"/>
      <c r="C74" s="29"/>
      <c r="D74" s="28"/>
      <c r="E74" s="30"/>
      <c r="F74" s="30"/>
      <c r="G74" s="30"/>
    </row>
    <row r="75" spans="1:7" s="2" customFormat="1" ht="15">
      <c r="A75" s="215" t="s">
        <v>63</v>
      </c>
      <c r="B75" s="216"/>
      <c r="C75" s="217"/>
      <c r="D75" s="19"/>
      <c r="E75" s="30">
        <f>SUM(E69:E74)</f>
        <v>78986.3</v>
      </c>
      <c r="F75" s="21"/>
      <c r="G75" s="19"/>
    </row>
    <row r="76" spans="1:7" s="2" customFormat="1" ht="15">
      <c r="A76" s="54"/>
      <c r="B76" s="8"/>
      <c r="C76" s="8"/>
      <c r="D76" s="31"/>
      <c r="E76" s="45"/>
      <c r="F76" s="32"/>
      <c r="G76" s="31"/>
    </row>
    <row r="77" spans="1:7" s="2" customFormat="1" ht="15">
      <c r="A77" s="54"/>
      <c r="B77" s="8"/>
      <c r="C77" s="8"/>
      <c r="D77" s="31"/>
      <c r="E77" s="45"/>
      <c r="F77" s="32"/>
      <c r="G77" s="31"/>
    </row>
    <row r="78" spans="1:7" s="2" customFormat="1" ht="15">
      <c r="A78" s="54"/>
      <c r="B78" s="8"/>
      <c r="C78" s="8"/>
      <c r="D78" s="31"/>
      <c r="E78" s="45"/>
      <c r="F78" s="32"/>
      <c r="G78" s="31"/>
    </row>
    <row r="79" spans="1:7" s="2" customFormat="1" ht="15">
      <c r="A79" s="54"/>
      <c r="B79" s="8"/>
      <c r="C79" s="8"/>
      <c r="D79" s="31"/>
      <c r="E79" s="45"/>
      <c r="F79" s="32"/>
      <c r="G79" s="31"/>
    </row>
    <row r="80" s="2" customFormat="1" ht="15">
      <c r="A80" s="53"/>
    </row>
    <row r="81" spans="1:7" s="2" customFormat="1" ht="15">
      <c r="A81" s="218" t="s">
        <v>11</v>
      </c>
      <c r="B81" s="218"/>
      <c r="C81" s="218"/>
      <c r="D81" s="218"/>
      <c r="E81" s="225">
        <f>G27+G38+G47+E65+E66+E75</f>
        <v>205873.12919999997</v>
      </c>
      <c r="F81" s="225"/>
      <c r="G81" s="225"/>
    </row>
    <row r="82" spans="1:7" s="2" customFormat="1" ht="15">
      <c r="A82" s="53"/>
      <c r="G82" s="13"/>
    </row>
    <row r="83" s="2" customFormat="1" ht="15">
      <c r="A83" s="53"/>
    </row>
    <row r="84" s="2" customFormat="1" ht="15">
      <c r="A84" s="53"/>
    </row>
    <row r="85" s="2" customFormat="1" ht="15">
      <c r="A85" s="53"/>
    </row>
    <row r="86" spans="1:5" s="2" customFormat="1" ht="15">
      <c r="A86" s="226" t="s">
        <v>47</v>
      </c>
      <c r="B86" s="226"/>
      <c r="E86" s="2" t="s">
        <v>12</v>
      </c>
    </row>
    <row r="87" spans="1:5" s="2" customFormat="1" ht="15">
      <c r="A87" s="226" t="s">
        <v>1</v>
      </c>
      <c r="B87" s="226"/>
      <c r="E87" s="2" t="s">
        <v>201</v>
      </c>
    </row>
    <row r="88" spans="1:5" s="2" customFormat="1" ht="30" customHeight="1">
      <c r="A88" s="214" t="s">
        <v>73</v>
      </c>
      <c r="B88" s="214"/>
      <c r="C88" s="22"/>
      <c r="E88" s="2" t="s">
        <v>202</v>
      </c>
    </row>
    <row r="89" s="2" customFormat="1" ht="15">
      <c r="A89" s="53"/>
    </row>
    <row r="90" s="2" customFormat="1" ht="15">
      <c r="A90" s="53"/>
    </row>
    <row r="91" s="2" customFormat="1" ht="15">
      <c r="A91" s="53"/>
    </row>
    <row r="92" s="2" customFormat="1" ht="15">
      <c r="A92" s="53"/>
    </row>
  </sheetData>
  <sheetProtection/>
  <mergeCells count="17">
    <mergeCell ref="A87:B87"/>
    <mergeCell ref="A88:B88"/>
    <mergeCell ref="A81:D81"/>
    <mergeCell ref="A1:B1"/>
    <mergeCell ref="A3:E3"/>
    <mergeCell ref="A5:H5"/>
    <mergeCell ref="A6:H6"/>
    <mergeCell ref="E81:G81"/>
    <mergeCell ref="A86:B86"/>
    <mergeCell ref="F50:G50"/>
    <mergeCell ref="A67:G67"/>
    <mergeCell ref="F68:G68"/>
    <mergeCell ref="A75:C75"/>
    <mergeCell ref="A38:C38"/>
    <mergeCell ref="A40:H40"/>
    <mergeCell ref="A47:C47"/>
    <mergeCell ref="A49:G49"/>
  </mergeCells>
  <printOptions/>
  <pageMargins left="0.4" right="0.34" top="0.39" bottom="0.7" header="0.2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76">
      <selection activeCell="E22" sqref="E22"/>
    </sheetView>
  </sheetViews>
  <sheetFormatPr defaultColWidth="9.140625" defaultRowHeight="15"/>
  <cols>
    <col min="1" max="1" width="5.140625" style="57" customWidth="1"/>
    <col min="2" max="2" width="34.140625" style="14" customWidth="1"/>
    <col min="3" max="3" width="7.00390625" style="14" customWidth="1"/>
    <col min="4" max="4" width="5.00390625" style="14" customWidth="1"/>
    <col min="5" max="5" width="11.421875" style="14" customWidth="1"/>
    <col min="6" max="6" width="10.57421875" style="14" customWidth="1"/>
    <col min="7" max="7" width="11.8515625" style="14" customWidth="1"/>
    <col min="8" max="8" width="10.00390625" style="14" customWidth="1"/>
    <col min="9" max="16384" width="9.140625" style="14" customWidth="1"/>
  </cols>
  <sheetData>
    <row r="1" spans="1:5" s="2" customFormat="1" ht="15">
      <c r="A1" s="230" t="s">
        <v>0</v>
      </c>
      <c r="B1" s="230"/>
      <c r="C1" s="1" t="s">
        <v>200</v>
      </c>
      <c r="D1" s="1"/>
      <c r="E1" s="1"/>
    </row>
    <row r="2" spans="1:5" s="2" customFormat="1" ht="15">
      <c r="A2" s="60"/>
      <c r="B2" s="60"/>
      <c r="C2" s="1"/>
      <c r="D2" s="1"/>
      <c r="E2" s="1"/>
    </row>
    <row r="3" spans="1:7" s="2" customFormat="1" ht="15">
      <c r="A3" s="230" t="s">
        <v>8</v>
      </c>
      <c r="B3" s="230"/>
      <c r="C3" s="230"/>
      <c r="D3" s="230"/>
      <c r="E3" s="230"/>
      <c r="F3" s="3" t="s">
        <v>49</v>
      </c>
      <c r="G3" s="1"/>
    </row>
    <row r="4" s="2" customFormat="1" ht="15">
      <c r="A4" s="53"/>
    </row>
    <row r="5" spans="1:8" s="2" customFormat="1" ht="18.75">
      <c r="A5" s="231" t="s">
        <v>179</v>
      </c>
      <c r="B5" s="231"/>
      <c r="C5" s="231"/>
      <c r="D5" s="231"/>
      <c r="E5" s="231"/>
      <c r="F5" s="231"/>
      <c r="G5" s="231"/>
      <c r="H5" s="231"/>
    </row>
    <row r="6" spans="1:8" s="2" customFormat="1" ht="15">
      <c r="A6" s="214" t="s">
        <v>149</v>
      </c>
      <c r="B6" s="214"/>
      <c r="C6" s="214"/>
      <c r="D6" s="214"/>
      <c r="E6" s="214"/>
      <c r="F6" s="214"/>
      <c r="G6" s="214"/>
      <c r="H6" s="214"/>
    </row>
    <row r="7" spans="1:6" s="2" customFormat="1" ht="15">
      <c r="A7" s="53"/>
      <c r="B7" s="4" t="s">
        <v>2</v>
      </c>
      <c r="C7" s="4"/>
      <c r="D7" s="5" t="s">
        <v>180</v>
      </c>
      <c r="E7" s="4"/>
      <c r="F7" s="4"/>
    </row>
    <row r="8" s="2" customFormat="1" ht="7.5" customHeight="1">
      <c r="A8" s="53"/>
    </row>
    <row r="9" spans="1:9" s="2" customFormat="1" ht="15">
      <c r="A9" s="148" t="s">
        <v>23</v>
      </c>
      <c r="B9" s="148"/>
      <c r="C9" s="148"/>
      <c r="D9" s="148"/>
      <c r="E9" s="148"/>
      <c r="F9" s="148"/>
      <c r="G9" s="148"/>
      <c r="H9" s="7" t="s">
        <v>50</v>
      </c>
      <c r="I9" s="7"/>
    </row>
    <row r="10" spans="1:12" s="2" customFormat="1" ht="37.5" customHeight="1">
      <c r="A10" s="17" t="s">
        <v>3</v>
      </c>
      <c r="B10" s="15" t="s">
        <v>40</v>
      </c>
      <c r="C10" s="15" t="s">
        <v>5</v>
      </c>
      <c r="D10" s="15" t="s">
        <v>6</v>
      </c>
      <c r="E10" s="16" t="s">
        <v>17</v>
      </c>
      <c r="F10" s="16" t="s">
        <v>39</v>
      </c>
      <c r="G10" s="15" t="s">
        <v>18</v>
      </c>
      <c r="H10" s="15" t="s">
        <v>7</v>
      </c>
      <c r="L10" s="6"/>
    </row>
    <row r="11" spans="1:8" s="2" customFormat="1" ht="28.5" customHeight="1">
      <c r="A11" s="17" t="s">
        <v>24</v>
      </c>
      <c r="B11" s="18" t="s">
        <v>13</v>
      </c>
      <c r="C11" s="15" t="s">
        <v>16</v>
      </c>
      <c r="D11" s="19">
        <v>1</v>
      </c>
      <c r="E11" s="23">
        <v>12889.8</v>
      </c>
      <c r="F11" s="23">
        <v>236.6</v>
      </c>
      <c r="G11" s="23">
        <f aca="true" t="shared" si="0" ref="G11:G23">E11+F11</f>
        <v>13126.4</v>
      </c>
      <c r="H11" s="19"/>
    </row>
    <row r="12" spans="1:8" s="2" customFormat="1" ht="28.5" customHeight="1">
      <c r="A12" s="17" t="s">
        <v>25</v>
      </c>
      <c r="B12" s="18" t="s">
        <v>14</v>
      </c>
      <c r="C12" s="15" t="s">
        <v>16</v>
      </c>
      <c r="D12" s="19">
        <v>1</v>
      </c>
      <c r="E12" s="23">
        <v>5077.8</v>
      </c>
      <c r="F12" s="23">
        <v>377</v>
      </c>
      <c r="G12" s="23">
        <f t="shared" si="0"/>
        <v>5454.8</v>
      </c>
      <c r="H12" s="19"/>
    </row>
    <row r="13" spans="1:8" s="2" customFormat="1" ht="28.5" customHeight="1">
      <c r="A13" s="17" t="s">
        <v>26</v>
      </c>
      <c r="B13" s="18" t="s">
        <v>22</v>
      </c>
      <c r="C13" s="15" t="s">
        <v>16</v>
      </c>
      <c r="D13" s="19">
        <v>1</v>
      </c>
      <c r="E13" s="23">
        <v>0</v>
      </c>
      <c r="F13" s="23"/>
      <c r="G13" s="23">
        <f t="shared" si="0"/>
        <v>0</v>
      </c>
      <c r="H13" s="19"/>
    </row>
    <row r="14" spans="1:8" s="2" customFormat="1" ht="15">
      <c r="A14" s="17" t="s">
        <v>27</v>
      </c>
      <c r="B14" s="155" t="s">
        <v>129</v>
      </c>
      <c r="C14" s="158"/>
      <c r="D14" s="158"/>
      <c r="E14" s="158"/>
      <c r="F14" s="158">
        <v>120</v>
      </c>
      <c r="G14" s="23">
        <f t="shared" si="0"/>
        <v>120</v>
      </c>
      <c r="H14" s="19"/>
    </row>
    <row r="15" spans="1:8" s="2" customFormat="1" ht="15">
      <c r="A15" s="17" t="s">
        <v>28</v>
      </c>
      <c r="B15" s="18" t="s">
        <v>21</v>
      </c>
      <c r="C15" s="15" t="s">
        <v>16</v>
      </c>
      <c r="D15" s="19">
        <v>1</v>
      </c>
      <c r="E15" s="24">
        <v>25378.66</v>
      </c>
      <c r="F15" s="23"/>
      <c r="G15" s="23">
        <f t="shared" si="0"/>
        <v>25378.66</v>
      </c>
      <c r="H15" s="19"/>
    </row>
    <row r="16" spans="1:11" s="2" customFormat="1" ht="15">
      <c r="A16" s="17" t="s">
        <v>29</v>
      </c>
      <c r="B16" s="18" t="s">
        <v>19</v>
      </c>
      <c r="C16" s="15" t="s">
        <v>16</v>
      </c>
      <c r="D16" s="19">
        <v>1</v>
      </c>
      <c r="E16" s="20">
        <v>14415.31</v>
      </c>
      <c r="F16" s="23"/>
      <c r="G16" s="23">
        <f t="shared" si="0"/>
        <v>14415.31</v>
      </c>
      <c r="H16" s="19"/>
      <c r="K16" s="2" t="s">
        <v>97</v>
      </c>
    </row>
    <row r="17" spans="1:8" s="2" customFormat="1" ht="15">
      <c r="A17" s="17" t="s">
        <v>30</v>
      </c>
      <c r="B17" s="18" t="s">
        <v>20</v>
      </c>
      <c r="C17" s="15" t="s">
        <v>16</v>
      </c>
      <c r="D17" s="19">
        <v>1</v>
      </c>
      <c r="E17" s="23">
        <v>827.84</v>
      </c>
      <c r="F17" s="23"/>
      <c r="G17" s="23">
        <f t="shared" si="0"/>
        <v>827.84</v>
      </c>
      <c r="H17" s="19"/>
    </row>
    <row r="18" spans="1:8" s="2" customFormat="1" ht="15">
      <c r="A18" s="17" t="s">
        <v>31</v>
      </c>
      <c r="B18" s="18" t="s">
        <v>51</v>
      </c>
      <c r="C18" s="15" t="s">
        <v>16</v>
      </c>
      <c r="D18" s="19">
        <v>1</v>
      </c>
      <c r="E18" s="23"/>
      <c r="F18" s="23"/>
      <c r="G18" s="23">
        <f t="shared" si="0"/>
        <v>0</v>
      </c>
      <c r="H18" s="19"/>
    </row>
    <row r="19" spans="1:8" s="2" customFormat="1" ht="15">
      <c r="A19" s="17" t="s">
        <v>134</v>
      </c>
      <c r="B19" s="18" t="s">
        <v>52</v>
      </c>
      <c r="C19" s="15" t="s">
        <v>16</v>
      </c>
      <c r="D19" s="19">
        <v>1</v>
      </c>
      <c r="E19" s="23">
        <v>3182</v>
      </c>
      <c r="F19" s="23"/>
      <c r="G19" s="23">
        <f t="shared" si="0"/>
        <v>3182</v>
      </c>
      <c r="H19" s="19"/>
    </row>
    <row r="20" spans="1:8" s="2" customFormat="1" ht="15">
      <c r="A20" s="17" t="s">
        <v>135</v>
      </c>
      <c r="B20" s="33" t="s">
        <v>105</v>
      </c>
      <c r="C20" s="15" t="s">
        <v>16</v>
      </c>
      <c r="D20" s="19">
        <v>1</v>
      </c>
      <c r="E20" s="23">
        <v>487.27</v>
      </c>
      <c r="F20" s="23"/>
      <c r="G20" s="23">
        <f t="shared" si="0"/>
        <v>487.27</v>
      </c>
      <c r="H20" s="19"/>
    </row>
    <row r="21" spans="1:8" s="2" customFormat="1" ht="15">
      <c r="A21" s="17" t="s">
        <v>189</v>
      </c>
      <c r="B21" s="33" t="s">
        <v>106</v>
      </c>
      <c r="C21" s="15" t="s">
        <v>16</v>
      </c>
      <c r="D21" s="19">
        <v>1</v>
      </c>
      <c r="E21" s="23"/>
      <c r="F21" s="23"/>
      <c r="G21" s="23">
        <f t="shared" si="0"/>
        <v>0</v>
      </c>
      <c r="H21" s="19"/>
    </row>
    <row r="22" spans="1:8" s="2" customFormat="1" ht="15">
      <c r="A22" s="17" t="s">
        <v>190</v>
      </c>
      <c r="B22" s="33" t="s">
        <v>109</v>
      </c>
      <c r="C22" s="15" t="s">
        <v>16</v>
      </c>
      <c r="D22" s="19">
        <v>1</v>
      </c>
      <c r="E22" s="23"/>
      <c r="F22" s="23"/>
      <c r="G22" s="23">
        <f t="shared" si="0"/>
        <v>0</v>
      </c>
      <c r="H22" s="19"/>
    </row>
    <row r="23" spans="1:8" s="2" customFormat="1" ht="15">
      <c r="A23" s="17" t="s">
        <v>191</v>
      </c>
      <c r="B23" s="33" t="s">
        <v>107</v>
      </c>
      <c r="C23" s="15" t="s">
        <v>16</v>
      </c>
      <c r="D23" s="19">
        <v>1</v>
      </c>
      <c r="E23" s="23"/>
      <c r="F23" s="23"/>
      <c r="G23" s="23">
        <f t="shared" si="0"/>
        <v>0</v>
      </c>
      <c r="H23" s="19"/>
    </row>
    <row r="24" spans="1:8" s="2" customFormat="1" ht="15">
      <c r="A24" s="17" t="s">
        <v>192</v>
      </c>
      <c r="B24" s="18" t="s">
        <v>48</v>
      </c>
      <c r="C24" s="15"/>
      <c r="D24" s="19"/>
      <c r="E24" s="23">
        <f>E25+E26</f>
        <v>0</v>
      </c>
      <c r="F24" s="23">
        <f>F25+F26</f>
        <v>0</v>
      </c>
      <c r="G24" s="23">
        <f>G25+G26</f>
        <v>0</v>
      </c>
      <c r="H24" s="19"/>
    </row>
    <row r="25" spans="1:8" s="4" customFormat="1" ht="15">
      <c r="A25" s="55"/>
      <c r="B25" s="34"/>
      <c r="C25" s="160"/>
      <c r="D25" s="35"/>
      <c r="E25" s="36"/>
      <c r="F25" s="36"/>
      <c r="G25" s="36">
        <f>E25+F25</f>
        <v>0</v>
      </c>
      <c r="H25" s="35"/>
    </row>
    <row r="26" spans="1:8" s="4" customFormat="1" ht="15">
      <c r="A26" s="55"/>
      <c r="B26" s="34"/>
      <c r="C26" s="160" t="s">
        <v>9</v>
      </c>
      <c r="D26" s="35"/>
      <c r="E26" s="161"/>
      <c r="F26" s="36"/>
      <c r="G26" s="36">
        <f>E26+F26</f>
        <v>0</v>
      </c>
      <c r="H26" s="35"/>
    </row>
    <row r="27" spans="1:8" s="2" customFormat="1" ht="17.25" customHeight="1">
      <c r="A27" s="61" t="s">
        <v>33</v>
      </c>
      <c r="B27" s="62"/>
      <c r="C27" s="170"/>
      <c r="D27" s="135"/>
      <c r="E27" s="171">
        <f>E11+E12+E13+E14+E15+E16+E17+E18+E19+E24+E20+E21+E22+E23</f>
        <v>62258.679999999986</v>
      </c>
      <c r="F27" s="171">
        <f>F11+F12+F13+F14+F15+F16+F17+F18+F19+F24+F20+F21+F22+F23</f>
        <v>733.6</v>
      </c>
      <c r="G27" s="171">
        <f>G11+G12+G13+G14+G15+G16+G17+G18+G19+G24+G20+G21+G22+G23</f>
        <v>62992.27999999999</v>
      </c>
      <c r="H27" s="41"/>
    </row>
    <row r="28" s="2" customFormat="1" ht="8.25" customHeight="1">
      <c r="A28" s="53"/>
    </row>
    <row r="29" spans="1:8" s="2" customFormat="1" ht="15">
      <c r="A29" s="148" t="s">
        <v>32</v>
      </c>
      <c r="B29" s="148"/>
      <c r="C29" s="148"/>
      <c r="D29" s="148"/>
      <c r="E29" s="148"/>
      <c r="F29" s="148"/>
      <c r="G29" s="148"/>
      <c r="H29" s="148"/>
    </row>
    <row r="30" spans="1:8" s="2" customFormat="1" ht="36.75" customHeight="1">
      <c r="A30" s="17" t="s">
        <v>3</v>
      </c>
      <c r="B30" s="15" t="s">
        <v>40</v>
      </c>
      <c r="C30" s="15" t="s">
        <v>5</v>
      </c>
      <c r="D30" s="15" t="s">
        <v>6</v>
      </c>
      <c r="E30" s="16" t="s">
        <v>17</v>
      </c>
      <c r="F30" s="16" t="s">
        <v>39</v>
      </c>
      <c r="G30" s="15" t="s">
        <v>18</v>
      </c>
      <c r="H30" s="15" t="s">
        <v>7</v>
      </c>
    </row>
    <row r="31" spans="1:8" s="2" customFormat="1" ht="25.5" customHeight="1">
      <c r="A31" s="17" t="s">
        <v>34</v>
      </c>
      <c r="B31" s="18" t="s">
        <v>150</v>
      </c>
      <c r="C31" s="15" t="s">
        <v>16</v>
      </c>
      <c r="D31" s="19">
        <v>1</v>
      </c>
      <c r="E31" s="23">
        <v>20040.45</v>
      </c>
      <c r="F31" s="23">
        <v>8319</v>
      </c>
      <c r="G31" s="23">
        <f aca="true" t="shared" si="1" ref="G31:G37">E31+F31</f>
        <v>28359.45</v>
      </c>
      <c r="H31" s="19"/>
    </row>
    <row r="32" spans="1:8" s="2" customFormat="1" ht="26.25" customHeight="1">
      <c r="A32" s="17" t="s">
        <v>35</v>
      </c>
      <c r="B32" s="18" t="s">
        <v>151</v>
      </c>
      <c r="C32" s="15" t="s">
        <v>16</v>
      </c>
      <c r="D32" s="19">
        <v>1</v>
      </c>
      <c r="E32" s="23">
        <v>8114.42</v>
      </c>
      <c r="F32" s="23">
        <v>917</v>
      </c>
      <c r="G32" s="23">
        <f t="shared" si="1"/>
        <v>9031.42</v>
      </c>
      <c r="H32" s="19"/>
    </row>
    <row r="33" spans="1:8" s="2" customFormat="1" ht="15">
      <c r="A33" s="17" t="s">
        <v>36</v>
      </c>
      <c r="B33" s="155" t="s">
        <v>129</v>
      </c>
      <c r="C33" s="15"/>
      <c r="D33" s="19"/>
      <c r="E33" s="23"/>
      <c r="F33" s="23">
        <v>60</v>
      </c>
      <c r="G33" s="23">
        <f t="shared" si="1"/>
        <v>60</v>
      </c>
      <c r="H33" s="19"/>
    </row>
    <row r="34" spans="1:8" s="2" customFormat="1" ht="15">
      <c r="A34" s="17" t="s">
        <v>37</v>
      </c>
      <c r="B34" s="18" t="s">
        <v>53</v>
      </c>
      <c r="C34" s="15" t="s">
        <v>16</v>
      </c>
      <c r="D34" s="19">
        <v>1</v>
      </c>
      <c r="E34" s="23"/>
      <c r="F34" s="23"/>
      <c r="G34" s="23">
        <f t="shared" si="1"/>
        <v>0</v>
      </c>
      <c r="H34" s="19"/>
    </row>
    <row r="35" spans="1:8" s="2" customFormat="1" ht="15">
      <c r="A35" s="17" t="s">
        <v>137</v>
      </c>
      <c r="B35" s="18" t="s">
        <v>48</v>
      </c>
      <c r="C35" s="15" t="s">
        <v>9</v>
      </c>
      <c r="D35" s="19">
        <v>1</v>
      </c>
      <c r="E35" s="23">
        <f>E36+E37</f>
        <v>0</v>
      </c>
      <c r="F35" s="23">
        <f>F36+F37</f>
        <v>0</v>
      </c>
      <c r="G35" s="23">
        <f t="shared" si="1"/>
        <v>0</v>
      </c>
      <c r="H35" s="19"/>
    </row>
    <row r="36" spans="1:8" s="4" customFormat="1" ht="15">
      <c r="A36" s="55"/>
      <c r="B36" s="34"/>
      <c r="C36" s="160"/>
      <c r="D36" s="35"/>
      <c r="E36" s="36"/>
      <c r="F36" s="36"/>
      <c r="G36" s="36">
        <f t="shared" si="1"/>
        <v>0</v>
      </c>
      <c r="H36" s="35"/>
    </row>
    <row r="37" spans="1:9" s="4" customFormat="1" ht="15">
      <c r="A37" s="55"/>
      <c r="B37" s="34"/>
      <c r="C37" s="160"/>
      <c r="D37" s="35"/>
      <c r="E37" s="36"/>
      <c r="F37" s="36"/>
      <c r="G37" s="36">
        <f t="shared" si="1"/>
        <v>0</v>
      </c>
      <c r="H37" s="35"/>
      <c r="I37" s="4" t="s">
        <v>97</v>
      </c>
    </row>
    <row r="38" spans="1:8" s="2" customFormat="1" ht="15">
      <c r="A38" s="227" t="s">
        <v>10</v>
      </c>
      <c r="B38" s="228"/>
      <c r="C38" s="229"/>
      <c r="D38" s="41"/>
      <c r="E38" s="171">
        <f>E31+E32+E33+E34+E35</f>
        <v>28154.870000000003</v>
      </c>
      <c r="F38" s="171">
        <f>F31+F32+F33+F34+F35</f>
        <v>9296</v>
      </c>
      <c r="G38" s="171">
        <f>G31+G32+G33+G34+G35</f>
        <v>37450.87</v>
      </c>
      <c r="H38" s="41"/>
    </row>
    <row r="39" s="2" customFormat="1" ht="9.75" customHeight="1">
      <c r="A39" s="53"/>
    </row>
    <row r="40" spans="1:8" s="2" customFormat="1" ht="15">
      <c r="A40" s="219" t="s">
        <v>38</v>
      </c>
      <c r="B40" s="219"/>
      <c r="C40" s="219"/>
      <c r="D40" s="219"/>
      <c r="E40" s="219"/>
      <c r="F40" s="219"/>
      <c r="G40" s="219"/>
      <c r="H40" s="219"/>
    </row>
    <row r="41" spans="1:8" s="2" customFormat="1" ht="36" customHeight="1">
      <c r="A41" s="17" t="s">
        <v>3</v>
      </c>
      <c r="B41" s="15" t="s">
        <v>40</v>
      </c>
      <c r="C41" s="15" t="s">
        <v>5</v>
      </c>
      <c r="D41" s="15" t="s">
        <v>6</v>
      </c>
      <c r="E41" s="16" t="s">
        <v>17</v>
      </c>
      <c r="F41" s="16" t="s">
        <v>39</v>
      </c>
      <c r="G41" s="15" t="s">
        <v>18</v>
      </c>
      <c r="H41" s="15" t="s">
        <v>7</v>
      </c>
    </row>
    <row r="42" spans="1:8" s="2" customFormat="1" ht="26.25" customHeight="1">
      <c r="A42" s="17" t="s">
        <v>42</v>
      </c>
      <c r="B42" s="18" t="s">
        <v>153</v>
      </c>
      <c r="C42" s="15" t="s">
        <v>16</v>
      </c>
      <c r="D42" s="15">
        <v>1</v>
      </c>
      <c r="E42" s="25">
        <v>2590.32</v>
      </c>
      <c r="F42" s="25"/>
      <c r="G42" s="26">
        <f>E42+F42</f>
        <v>2590.32</v>
      </c>
      <c r="H42" s="19"/>
    </row>
    <row r="43" spans="1:8" s="2" customFormat="1" ht="15">
      <c r="A43" s="17"/>
      <c r="B43" s="155" t="s">
        <v>129</v>
      </c>
      <c r="C43" s="15"/>
      <c r="D43" s="15"/>
      <c r="E43" s="25"/>
      <c r="F43" s="25"/>
      <c r="G43" s="26">
        <f>E43+F43</f>
        <v>0</v>
      </c>
      <c r="H43" s="19"/>
    </row>
    <row r="44" spans="1:8" s="2" customFormat="1" ht="15">
      <c r="A44" s="17" t="s">
        <v>43</v>
      </c>
      <c r="B44" s="18" t="s">
        <v>48</v>
      </c>
      <c r="C44" s="15"/>
      <c r="D44" s="15"/>
      <c r="E44" s="25"/>
      <c r="F44" s="25"/>
      <c r="G44" s="26">
        <f>E44+F44</f>
        <v>0</v>
      </c>
      <c r="H44" s="19"/>
    </row>
    <row r="45" spans="1:11" s="2" customFormat="1" ht="15">
      <c r="A45" s="17"/>
      <c r="B45" s="18"/>
      <c r="C45" s="15"/>
      <c r="D45" s="19"/>
      <c r="E45" s="23"/>
      <c r="F45" s="26"/>
      <c r="G45" s="37">
        <f>E45+F45</f>
        <v>0</v>
      </c>
      <c r="H45" s="19"/>
      <c r="K45" s="12">
        <f>F27+F38+F47</f>
        <v>10029.6</v>
      </c>
    </row>
    <row r="46" spans="1:8" s="2" customFormat="1" ht="15">
      <c r="A46" s="17"/>
      <c r="B46" s="18"/>
      <c r="C46" s="19"/>
      <c r="D46" s="19"/>
      <c r="E46" s="23"/>
      <c r="F46" s="26"/>
      <c r="G46" s="37">
        <f>E46+F46</f>
        <v>0</v>
      </c>
      <c r="H46" s="19"/>
    </row>
    <row r="47" spans="1:8" s="2" customFormat="1" ht="15">
      <c r="A47" s="211" t="s">
        <v>41</v>
      </c>
      <c r="B47" s="212"/>
      <c r="C47" s="213"/>
      <c r="D47" s="41"/>
      <c r="E47" s="42">
        <f>SUM(E42:E46)</f>
        <v>2590.32</v>
      </c>
      <c r="F47" s="44">
        <f>SUM(F42:F44)</f>
        <v>0</v>
      </c>
      <c r="G47" s="42">
        <f>SUM(G42:G46)</f>
        <v>2590.32</v>
      </c>
      <c r="H47" s="41"/>
    </row>
    <row r="48" spans="1:8" s="2" customFormat="1" ht="7.5" customHeight="1">
      <c r="A48" s="54"/>
      <c r="B48" s="8"/>
      <c r="C48" s="8"/>
      <c r="D48" s="9"/>
      <c r="E48" s="9"/>
      <c r="F48" s="10"/>
      <c r="G48" s="9"/>
      <c r="H48" s="11"/>
    </row>
    <row r="49" spans="1:8" s="7" customFormat="1" ht="15" customHeight="1">
      <c r="A49" s="219" t="s">
        <v>154</v>
      </c>
      <c r="B49" s="219"/>
      <c r="C49" s="219"/>
      <c r="D49" s="219"/>
      <c r="E49" s="219"/>
      <c r="F49" s="219"/>
      <c r="G49" s="219"/>
      <c r="H49" s="58"/>
    </row>
    <row r="50" spans="1:7" s="2" customFormat="1" ht="24.75">
      <c r="A50" s="17" t="s">
        <v>3</v>
      </c>
      <c r="B50" s="15" t="s">
        <v>4</v>
      </c>
      <c r="C50" s="15" t="s">
        <v>5</v>
      </c>
      <c r="D50" s="15" t="s">
        <v>6</v>
      </c>
      <c r="E50" s="16" t="s">
        <v>45</v>
      </c>
      <c r="F50" s="220" t="s">
        <v>46</v>
      </c>
      <c r="G50" s="221"/>
    </row>
    <row r="51" spans="1:7" s="2" customFormat="1" ht="25.5" customHeight="1">
      <c r="A51" s="17" t="s">
        <v>67</v>
      </c>
      <c r="B51" s="27" t="s">
        <v>152</v>
      </c>
      <c r="C51" s="29" t="s">
        <v>16</v>
      </c>
      <c r="D51" s="28">
        <v>1</v>
      </c>
      <c r="E51" s="30">
        <f>5883.8*2.274</f>
        <v>13379.7612</v>
      </c>
      <c r="F51" s="30"/>
      <c r="G51" s="30"/>
    </row>
    <row r="52" spans="1:7" s="2" customFormat="1" ht="15">
      <c r="A52" s="17" t="s">
        <v>68</v>
      </c>
      <c r="B52" s="28" t="s">
        <v>54</v>
      </c>
      <c r="C52" s="29" t="s">
        <v>16</v>
      </c>
      <c r="D52" s="28">
        <v>1</v>
      </c>
      <c r="E52" s="30">
        <f>5883.8*0.4</f>
        <v>2353.52</v>
      </c>
      <c r="F52" s="30"/>
      <c r="G52" s="30"/>
    </row>
    <row r="53" spans="1:7" s="2" customFormat="1" ht="15">
      <c r="A53" s="17" t="s">
        <v>69</v>
      </c>
      <c r="B53" s="28" t="s">
        <v>55</v>
      </c>
      <c r="C53" s="29" t="s">
        <v>16</v>
      </c>
      <c r="D53" s="28">
        <v>1</v>
      </c>
      <c r="E53" s="30">
        <f>5883.8*0.21</f>
        <v>1235.598</v>
      </c>
      <c r="F53" s="30"/>
      <c r="G53" s="30"/>
    </row>
    <row r="54" spans="1:7" s="2" customFormat="1" ht="15">
      <c r="A54" s="17" t="s">
        <v>70</v>
      </c>
      <c r="B54" s="28" t="s">
        <v>56</v>
      </c>
      <c r="C54" s="29" t="s">
        <v>16</v>
      </c>
      <c r="D54" s="28">
        <v>1</v>
      </c>
      <c r="E54" s="30">
        <v>1910.78</v>
      </c>
      <c r="F54" s="30"/>
      <c r="G54" s="30"/>
    </row>
    <row r="55" spans="1:7" s="2" customFormat="1" ht="15">
      <c r="A55" s="17" t="s">
        <v>72</v>
      </c>
      <c r="B55" s="18" t="s">
        <v>75</v>
      </c>
      <c r="C55" s="29" t="s">
        <v>16</v>
      </c>
      <c r="D55" s="28">
        <v>1</v>
      </c>
      <c r="E55" s="30">
        <f>E56+E57+E58+E59+E60+E61+E62+E63+E64</f>
        <v>3922.3899999999994</v>
      </c>
      <c r="F55" s="30"/>
      <c r="G55" s="30"/>
    </row>
    <row r="56" spans="1:7" s="4" customFormat="1" ht="15">
      <c r="A56" s="55"/>
      <c r="B56" s="34" t="s">
        <v>64</v>
      </c>
      <c r="C56" s="29" t="s">
        <v>16</v>
      </c>
      <c r="D56" s="28">
        <v>1</v>
      </c>
      <c r="E56" s="36">
        <v>1363.39</v>
      </c>
      <c r="F56" s="37"/>
      <c r="G56" s="36"/>
    </row>
    <row r="57" spans="1:11" s="4" customFormat="1" ht="15">
      <c r="A57" s="55"/>
      <c r="B57" s="34" t="s">
        <v>65</v>
      </c>
      <c r="C57" s="29" t="s">
        <v>16</v>
      </c>
      <c r="D57" s="28">
        <v>1</v>
      </c>
      <c r="E57" s="36">
        <v>107.95</v>
      </c>
      <c r="F57" s="37"/>
      <c r="G57" s="36"/>
      <c r="J57" s="38"/>
      <c r="K57" s="39"/>
    </row>
    <row r="58" spans="1:7" s="4" customFormat="1" ht="24.75">
      <c r="A58" s="55"/>
      <c r="B58" s="34" t="s">
        <v>66</v>
      </c>
      <c r="C58" s="29" t="s">
        <v>16</v>
      </c>
      <c r="D58" s="28">
        <v>1</v>
      </c>
      <c r="E58" s="36">
        <f>968.06+308.34</f>
        <v>1276.3999999999999</v>
      </c>
      <c r="F58" s="37"/>
      <c r="G58" s="36"/>
    </row>
    <row r="59" spans="1:7" s="4" customFormat="1" ht="15">
      <c r="A59" s="55"/>
      <c r="B59" s="34" t="s">
        <v>71</v>
      </c>
      <c r="C59" s="29" t="s">
        <v>16</v>
      </c>
      <c r="D59" s="28">
        <v>1</v>
      </c>
      <c r="E59" s="35">
        <v>777.43</v>
      </c>
      <c r="F59" s="40"/>
      <c r="G59" s="35"/>
    </row>
    <row r="60" spans="1:7" s="4" customFormat="1" ht="15">
      <c r="A60" s="55"/>
      <c r="B60" s="34" t="s">
        <v>76</v>
      </c>
      <c r="C60" s="29" t="s">
        <v>16</v>
      </c>
      <c r="D60" s="28">
        <v>1</v>
      </c>
      <c r="E60" s="35"/>
      <c r="F60" s="40"/>
      <c r="G60" s="35"/>
    </row>
    <row r="61" spans="1:7" s="4" customFormat="1" ht="15">
      <c r="A61" s="55"/>
      <c r="B61" s="34" t="s">
        <v>74</v>
      </c>
      <c r="C61" s="29" t="s">
        <v>16</v>
      </c>
      <c r="D61" s="28">
        <v>1</v>
      </c>
      <c r="E61" s="35">
        <v>371.5</v>
      </c>
      <c r="F61" s="40"/>
      <c r="G61" s="35"/>
    </row>
    <row r="62" spans="1:7" s="4" customFormat="1" ht="15">
      <c r="A62" s="55"/>
      <c r="B62" s="34" t="s">
        <v>77</v>
      </c>
      <c r="C62" s="29" t="s">
        <v>16</v>
      </c>
      <c r="D62" s="28">
        <v>1</v>
      </c>
      <c r="E62" s="35">
        <v>25.72</v>
      </c>
      <c r="F62" s="40"/>
      <c r="G62" s="35"/>
    </row>
    <row r="63" spans="1:7" s="4" customFormat="1" ht="15">
      <c r="A63" s="55"/>
      <c r="B63" s="34" t="s">
        <v>78</v>
      </c>
      <c r="C63" s="29" t="s">
        <v>16</v>
      </c>
      <c r="D63" s="28">
        <v>1</v>
      </c>
      <c r="E63" s="35"/>
      <c r="F63" s="40"/>
      <c r="G63" s="35"/>
    </row>
    <row r="64" spans="1:9" s="4" customFormat="1" ht="15">
      <c r="A64" s="55"/>
      <c r="B64" s="34"/>
      <c r="C64" s="35"/>
      <c r="D64" s="35"/>
      <c r="E64" s="35"/>
      <c r="F64" s="40"/>
      <c r="G64" s="35"/>
      <c r="I64" s="39"/>
    </row>
    <row r="65" spans="1:7" s="2" customFormat="1" ht="15">
      <c r="A65" s="180" t="s">
        <v>155</v>
      </c>
      <c r="B65" s="181"/>
      <c r="C65" s="182"/>
      <c r="D65" s="41"/>
      <c r="E65" s="42">
        <f>E51+E52+E53+E54+E55</f>
        <v>22802.0492</v>
      </c>
      <c r="F65" s="43"/>
      <c r="G65" s="41"/>
    </row>
    <row r="66" spans="1:7" s="52" customFormat="1" ht="25.5">
      <c r="A66" s="56" t="s">
        <v>156</v>
      </c>
      <c r="B66" s="47" t="s">
        <v>57</v>
      </c>
      <c r="C66" s="48" t="s">
        <v>16</v>
      </c>
      <c r="D66" s="49">
        <v>1</v>
      </c>
      <c r="E66" s="51">
        <v>4448.5</v>
      </c>
      <c r="F66" s="50"/>
      <c r="G66" s="51"/>
    </row>
    <row r="67" spans="1:7" s="46" customFormat="1" ht="15" customHeight="1">
      <c r="A67" s="222" t="s">
        <v>157</v>
      </c>
      <c r="B67" s="223"/>
      <c r="C67" s="223"/>
      <c r="D67" s="223"/>
      <c r="E67" s="223"/>
      <c r="F67" s="223"/>
      <c r="G67" s="224"/>
    </row>
    <row r="68" spans="1:7" s="2" customFormat="1" ht="33.75" customHeight="1">
      <c r="A68" s="17" t="s">
        <v>3</v>
      </c>
      <c r="B68" s="15" t="s">
        <v>4</v>
      </c>
      <c r="C68" s="15" t="s">
        <v>5</v>
      </c>
      <c r="D68" s="15" t="s">
        <v>6</v>
      </c>
      <c r="E68" s="16" t="s">
        <v>45</v>
      </c>
      <c r="F68" s="220" t="s">
        <v>46</v>
      </c>
      <c r="G68" s="221"/>
    </row>
    <row r="69" spans="1:7" s="2" customFormat="1" ht="25.5" customHeight="1">
      <c r="A69" s="17"/>
      <c r="B69" s="33" t="s">
        <v>58</v>
      </c>
      <c r="C69" s="29" t="s">
        <v>16</v>
      </c>
      <c r="D69" s="28">
        <v>1</v>
      </c>
      <c r="E69" s="30">
        <v>35393.15</v>
      </c>
      <c r="F69" s="30"/>
      <c r="G69" s="30"/>
    </row>
    <row r="70" spans="1:7" s="2" customFormat="1" ht="15">
      <c r="A70" s="17"/>
      <c r="B70" s="33" t="s">
        <v>59</v>
      </c>
      <c r="C70" s="29" t="s">
        <v>16</v>
      </c>
      <c r="D70" s="28">
        <v>1</v>
      </c>
      <c r="E70" s="30"/>
      <c r="F70" s="30"/>
      <c r="G70" s="30"/>
    </row>
    <row r="71" spans="1:7" s="2" customFormat="1" ht="15">
      <c r="A71" s="17"/>
      <c r="B71" s="33" t="s">
        <v>60</v>
      </c>
      <c r="C71" s="29" t="s">
        <v>16</v>
      </c>
      <c r="D71" s="28">
        <v>1</v>
      </c>
      <c r="E71" s="30">
        <v>24772.13</v>
      </c>
      <c r="F71" s="30"/>
      <c r="G71" s="30"/>
    </row>
    <row r="72" spans="1:7" s="2" customFormat="1" ht="15">
      <c r="A72" s="17"/>
      <c r="B72" s="33" t="s">
        <v>61</v>
      </c>
      <c r="C72" s="29" t="s">
        <v>16</v>
      </c>
      <c r="D72" s="28">
        <v>1</v>
      </c>
      <c r="E72" s="30">
        <v>11786.05</v>
      </c>
      <c r="F72" s="30"/>
      <c r="G72" s="30"/>
    </row>
    <row r="73" spans="1:9" s="2" customFormat="1" ht="15">
      <c r="A73" s="17"/>
      <c r="B73" s="33" t="s">
        <v>62</v>
      </c>
      <c r="C73" s="29" t="s">
        <v>16</v>
      </c>
      <c r="D73" s="19">
        <v>1</v>
      </c>
      <c r="E73" s="30">
        <v>13161.76</v>
      </c>
      <c r="F73" s="26"/>
      <c r="G73" s="23"/>
      <c r="I73" s="13">
        <f>E72+E73</f>
        <v>24947.809999999998</v>
      </c>
    </row>
    <row r="74" spans="1:7" s="2" customFormat="1" ht="15">
      <c r="A74" s="17"/>
      <c r="B74" s="18"/>
      <c r="C74" s="29"/>
      <c r="D74" s="28"/>
      <c r="E74" s="30"/>
      <c r="F74" s="30"/>
      <c r="G74" s="30"/>
    </row>
    <row r="75" spans="1:7" s="2" customFormat="1" ht="15">
      <c r="A75" s="215" t="s">
        <v>63</v>
      </c>
      <c r="B75" s="216"/>
      <c r="C75" s="217"/>
      <c r="D75" s="19"/>
      <c r="E75" s="30">
        <f>SUM(E69:E74)</f>
        <v>85113.09</v>
      </c>
      <c r="F75" s="21"/>
      <c r="G75" s="19"/>
    </row>
    <row r="76" spans="1:7" s="2" customFormat="1" ht="15">
      <c r="A76" s="54"/>
      <c r="B76" s="8"/>
      <c r="C76" s="8"/>
      <c r="D76" s="31"/>
      <c r="E76" s="45"/>
      <c r="F76" s="32"/>
      <c r="G76" s="31"/>
    </row>
    <row r="77" spans="1:7" s="2" customFormat="1" ht="15">
      <c r="A77" s="54"/>
      <c r="B77" s="8"/>
      <c r="C77" s="8"/>
      <c r="D77" s="31"/>
      <c r="E77" s="45"/>
      <c r="F77" s="32"/>
      <c r="G77" s="31"/>
    </row>
    <row r="78" spans="1:7" s="2" customFormat="1" ht="15">
      <c r="A78" s="54"/>
      <c r="B78" s="8"/>
      <c r="C78" s="8"/>
      <c r="D78" s="31"/>
      <c r="E78" s="45"/>
      <c r="F78" s="32"/>
      <c r="G78" s="31"/>
    </row>
    <row r="79" spans="1:7" s="2" customFormat="1" ht="15">
      <c r="A79" s="54"/>
      <c r="B79" s="8"/>
      <c r="C79" s="8"/>
      <c r="D79" s="31"/>
      <c r="E79" s="45"/>
      <c r="F79" s="32"/>
      <c r="G79" s="31"/>
    </row>
    <row r="80" s="2" customFormat="1" ht="15">
      <c r="A80" s="53"/>
    </row>
    <row r="81" spans="1:7" s="2" customFormat="1" ht="15">
      <c r="A81" s="218" t="s">
        <v>11</v>
      </c>
      <c r="B81" s="218"/>
      <c r="C81" s="218"/>
      <c r="D81" s="218"/>
      <c r="E81" s="225">
        <f>G27+G38+G47+E65+E66+E75</f>
        <v>215397.1092</v>
      </c>
      <c r="F81" s="225"/>
      <c r="G81" s="225"/>
    </row>
    <row r="82" spans="1:7" s="2" customFormat="1" ht="15">
      <c r="A82" s="53"/>
      <c r="G82" s="13"/>
    </row>
    <row r="83" s="2" customFormat="1" ht="15">
      <c r="A83" s="53"/>
    </row>
    <row r="84" s="2" customFormat="1" ht="15">
      <c r="A84" s="53"/>
    </row>
    <row r="85" s="2" customFormat="1" ht="15">
      <c r="A85" s="53"/>
    </row>
    <row r="86" spans="1:5" s="2" customFormat="1" ht="15">
      <c r="A86" s="226" t="s">
        <v>47</v>
      </c>
      <c r="B86" s="226"/>
      <c r="E86" s="2" t="s">
        <v>12</v>
      </c>
    </row>
    <row r="87" spans="1:5" s="2" customFormat="1" ht="15">
      <c r="A87" s="226" t="s">
        <v>1</v>
      </c>
      <c r="B87" s="226"/>
      <c r="E87" s="2" t="s">
        <v>201</v>
      </c>
    </row>
    <row r="88" spans="1:5" s="2" customFormat="1" ht="30" customHeight="1">
      <c r="A88" s="214" t="s">
        <v>73</v>
      </c>
      <c r="B88" s="214"/>
      <c r="C88" s="22"/>
      <c r="E88" s="2" t="s">
        <v>202</v>
      </c>
    </row>
    <row r="89" s="2" customFormat="1" ht="15">
      <c r="A89" s="53"/>
    </row>
    <row r="90" s="2" customFormat="1" ht="15">
      <c r="A90" s="53"/>
    </row>
    <row r="91" s="2" customFormat="1" ht="15">
      <c r="A91" s="53"/>
    </row>
    <row r="92" s="2" customFormat="1" ht="15">
      <c r="A92" s="53"/>
    </row>
  </sheetData>
  <sheetProtection/>
  <mergeCells count="17">
    <mergeCell ref="A87:B87"/>
    <mergeCell ref="A88:B88"/>
    <mergeCell ref="A81:D81"/>
    <mergeCell ref="A1:B1"/>
    <mergeCell ref="A3:E3"/>
    <mergeCell ref="A5:H5"/>
    <mergeCell ref="A6:H6"/>
    <mergeCell ref="E81:G81"/>
    <mergeCell ref="A86:B86"/>
    <mergeCell ref="F50:G50"/>
    <mergeCell ref="A67:G67"/>
    <mergeCell ref="F68:G68"/>
    <mergeCell ref="A75:C75"/>
    <mergeCell ref="A38:C38"/>
    <mergeCell ref="A40:H40"/>
    <mergeCell ref="A47:C47"/>
    <mergeCell ref="A49:G49"/>
  </mergeCells>
  <printOptions/>
  <pageMargins left="0.46" right="0.23" top="0.46" bottom="0.32" header="0.32" footer="0.7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</dc:creator>
  <cp:keywords/>
  <dc:description/>
  <cp:lastModifiedBy>User</cp:lastModifiedBy>
  <cp:lastPrinted>2018-05-23T10:14:07Z</cp:lastPrinted>
  <dcterms:created xsi:type="dcterms:W3CDTF">2011-02-12T11:02:58Z</dcterms:created>
  <dcterms:modified xsi:type="dcterms:W3CDTF">2019-02-20T06:18:14Z</dcterms:modified>
  <cp:category/>
  <cp:version/>
  <cp:contentType/>
  <cp:contentStatus/>
</cp:coreProperties>
</file>