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 " sheetId="13" r:id="rId13"/>
    <sheet name="декабрь" sheetId="14" r:id="rId14"/>
  </sheets>
  <externalReferences>
    <externalReference r:id="rId17"/>
  </externalReferences>
  <definedNames>
    <definedName name="_xlnm.Print_Area" localSheetId="0">'Лист1'!$A$1:$R$94</definedName>
  </definedNames>
  <calcPr fullCalcOnLoad="1"/>
</workbook>
</file>

<file path=xl/sharedStrings.xml><?xml version="1.0" encoding="utf-8"?>
<sst xmlns="http://schemas.openxmlformats.org/spreadsheetml/2006/main" count="1771" uniqueCount="203">
  <si>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</si>
  <si>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</si>
  <si>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</si>
  <si>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</si>
  <si>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</si>
  <si>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</si>
  <si>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</si>
  <si>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</si>
  <si>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</si>
  <si>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ИТОГО ПО АКТУ ВЫПОЛНЕННЫХ РАБОТ</t>
  </si>
  <si>
    <t>Обслуживающая организация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</si>
  <si>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</si>
  <si>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</si>
  <si>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</si>
  <si>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</si>
  <si>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</si>
  <si>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</si>
  <si>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Содержание и эксплуатация лифтов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</si>
  <si>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</si>
  <si>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</si>
  <si>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</si>
  <si>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</si>
  <si>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</si>
  <si>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</si>
  <si>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</si>
  <si>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</si>
  <si>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</si>
  <si>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</si>
  <si>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стоимость
материалов руб</t>
  </si>
  <si>
    <t>Наименование услуги</t>
  </si>
  <si>
    <t>стоимость работ, руб</t>
  </si>
  <si>
    <t>Примечание</t>
  </si>
  <si>
    <t>Представитель собственников</t>
  </si>
  <si>
    <t>Дополнительные работы:</t>
  </si>
  <si>
    <t>Вывоз КГО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</si>
  <si>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</si>
  <si>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</si>
  <si>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</si>
  <si>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</si>
  <si>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</si>
  <si>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</si>
  <si>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</si>
  <si>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</si>
  <si>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</si>
  <si>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</si>
  <si>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</si>
  <si>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</si>
  <si>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</si>
  <si>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</si>
  <si>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</si>
  <si>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</si>
  <si>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</si>
  <si>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</si>
  <si>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</si>
  <si>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</si>
  <si>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</si>
  <si>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</si>
  <si>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</si>
  <si>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</si>
  <si>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</si>
  <si>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</si>
  <si>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</si>
  <si>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</si>
  <si>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</si>
  <si>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</si>
  <si>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</si>
  <si>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</si>
  <si>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</si>
  <si>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</si>
  <si>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</si>
  <si>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</si>
  <si>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</si>
  <si>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</si>
  <si>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</si>
  <si>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</si>
  <si>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</si>
  <si>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</si>
  <si>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</si>
  <si>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</si>
  <si>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</si>
  <si>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</si>
  <si>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</si>
  <si>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</si>
  <si>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</si>
  <si>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</si>
  <si>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</si>
  <si>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</si>
  <si>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</si>
  <si>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</si>
  <si>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</si>
  <si>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</si>
  <si>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</si>
  <si>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</si>
  <si>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</si>
  <si>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</si>
  <si>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</si>
  <si>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</si>
  <si>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</si>
  <si>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1.9</t>
  </si>
  <si>
    <t>1.10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</si>
  <si>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</si>
  <si>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</si>
  <si>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</si>
  <si>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Услуги по начислению платежей и взносов</t>
  </si>
  <si>
    <t>Услуги паспортного стола</t>
  </si>
  <si>
    <t>Итого расходов по ЖУ</t>
  </si>
  <si>
    <t>Итого расходов по КУ</t>
  </si>
  <si>
    <t>5.</t>
  </si>
  <si>
    <t>6. Коммунальные услуги</t>
  </si>
  <si>
    <t>Итого доходов по ЖУ</t>
  </si>
  <si>
    <t>ООО "Каскад-Сервис"</t>
  </si>
  <si>
    <t>Сбор и транспортировка ТКО</t>
  </si>
  <si>
    <t>Содержание  мест общего пользов.</t>
  </si>
  <si>
    <t>ул. 1 Мая 8А</t>
  </si>
  <si>
    <t>выполненных работ по содержанию и текущему ремонту общего имущества</t>
  </si>
  <si>
    <t>1.</t>
  </si>
  <si>
    <t>Работы, необходимые для надлежащего содержания конструктивов, оборудования, систем инженерно-технического обеспечения, входящих в состав общего имущества в МКД и по надлежащему содержанию мест общего пользования и придомовой территории.</t>
  </si>
  <si>
    <t>Работы по содержанию придомовой 
территории.</t>
  </si>
  <si>
    <t>Работы по содержанию помещений, входящих в состав общего имущества в МКД:</t>
  </si>
  <si>
    <t>Содержание конструкций МКД</t>
  </si>
  <si>
    <t>Содержание инженерного оборудования МКД</t>
  </si>
  <si>
    <t>Аварийно-диспетчерское обслуживание</t>
  </si>
  <si>
    <t>Админ.-управленческое и инж.-техническое 
сопровождение</t>
  </si>
  <si>
    <t>Всего по разделу:</t>
  </si>
  <si>
    <t>2.</t>
  </si>
  <si>
    <t>Текущий ремонт конструктивов, оборудования, систем инженерно -технического обеспечения, входящих в состав общего имущества в МКД</t>
  </si>
  <si>
    <t>Текущий ремонт конструктивных элементов МКД</t>
  </si>
  <si>
    <t>Всего по разделу № 2:</t>
  </si>
  <si>
    <t>3.</t>
  </si>
  <si>
    <t>Содержание и обслуживание м/провода</t>
  </si>
  <si>
    <t>4.</t>
  </si>
  <si>
    <t>Содержание и обслуживание лифтов</t>
  </si>
  <si>
    <t>6.</t>
  </si>
  <si>
    <t>Всего по жилищным услугам:</t>
  </si>
  <si>
    <t>Текущий ремонт инженерного оборудования МКД</t>
  </si>
  <si>
    <t>Текущий ремонт конструктивных элементов МКД, в т.ч.:</t>
  </si>
  <si>
    <t>Текущий ремонт инженерного оборудования
 МКД, в т.ч.:</t>
  </si>
  <si>
    <r>
      <t>__________________</t>
    </r>
    <r>
      <rPr>
        <u val="single"/>
        <sz val="11"/>
        <color indexed="8"/>
        <rFont val="Times New Roman"/>
        <family val="1"/>
      </rPr>
      <t>/А.А.Рубина</t>
    </r>
    <r>
      <rPr>
        <sz val="11"/>
        <color indexed="8"/>
        <rFont val="Times New Roman"/>
        <family val="1"/>
      </rPr>
      <t>/</t>
    </r>
  </si>
  <si>
    <t>Админ.-управленческое и инженерно-техническое сопровождение</t>
  </si>
  <si>
    <t>Свод доходов по ул.1 Мая,8А  за 2017 год.</t>
  </si>
  <si>
    <t>Сальдо на
01.01.2017г</t>
  </si>
  <si>
    <t>в т.ч. Дополнительные работы</t>
  </si>
  <si>
    <t>Ремонт мест общего пользования</t>
  </si>
  <si>
    <t>1.11</t>
  </si>
  <si>
    <t>1.12</t>
  </si>
  <si>
    <t>1.13</t>
  </si>
  <si>
    <t>1.14</t>
  </si>
  <si>
    <t>РАСШИФРОВКА РАСХОДОВ  ул.1 Мая ,8а за 2017 год..</t>
  </si>
  <si>
    <t>01.01.2017 - 31.01.2017</t>
  </si>
  <si>
    <t>механизированая уборка снега</t>
  </si>
  <si>
    <t>Страхование лифтов</t>
  </si>
  <si>
    <t>АКТ № 01/8А от  31 января 2017г.</t>
  </si>
  <si>
    <t>корр  эл.в декабре</t>
  </si>
  <si>
    <t>АКТ № 02/8А от  28 февраля 2017г.</t>
  </si>
  <si>
    <t>01.02.2017 - 28.02.2017</t>
  </si>
  <si>
    <t>АКТ № 03/8А от  31марта 2017г.</t>
  </si>
  <si>
    <t>01.03.2017 - 31.03.2017</t>
  </si>
  <si>
    <t>АКТ № 04/8А от  30 апреля 2017г.</t>
  </si>
  <si>
    <t>01.04.2017 - 31.04.2017</t>
  </si>
  <si>
    <t>01.05.2017 - 31.05.2017</t>
  </si>
  <si>
    <t>АКТ № 06/8А от  30 июня 2017г.</t>
  </si>
  <si>
    <t>01.06.2017 - 31.06.2017</t>
  </si>
  <si>
    <t>АКТ № 07/8А от  31 июля 2017г.</t>
  </si>
  <si>
    <t>01.07.2017 - 31.07.2017</t>
  </si>
  <si>
    <t>АКТ № 09/8А от  30 сентября 2017г.</t>
  </si>
  <si>
    <t>АКТ № 10/8А от  31 октября 2017г.</t>
  </si>
  <si>
    <t>01.10.2017 - 31.10.2017</t>
  </si>
  <si>
    <t>АКТ № 11/8А от  30 ноября 2017г.</t>
  </si>
  <si>
    <t>01.11.2017 - 30.11.2017</t>
  </si>
  <si>
    <t>АКТ № 12/8А от  31 декабря 2017г.</t>
  </si>
  <si>
    <t>01.12.2017 - 31.12.2017</t>
  </si>
  <si>
    <t>АКТ № 05/8А от  31 мая 2017г.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</si>
  <si>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</si>
  <si>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</si>
  <si>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</si>
  <si>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</si>
  <si>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ООО УК "Каскад-Сервис"</t>
  </si>
  <si>
    <t>ОООУК "Каскад-Сервис"</t>
  </si>
  <si>
    <t>ООО УК"Каскад-Сервис"</t>
  </si>
  <si>
    <t>____________________/ В.А.Пянзина/</t>
  </si>
  <si>
    <t>ООО"УК "Каскад-Сервис"</t>
  </si>
  <si>
    <t>Покос травы</t>
  </si>
  <si>
    <t>засыпка грунтом газонов</t>
  </si>
  <si>
    <t xml:space="preserve">покос травы </t>
  </si>
  <si>
    <t>засыпка газонов грунтом</t>
  </si>
  <si>
    <t>в том числе:</t>
  </si>
  <si>
    <t>Уборка территории</t>
  </si>
  <si>
    <t xml:space="preserve"> Дополнительные работы</t>
  </si>
  <si>
    <t>раз</t>
  </si>
  <si>
    <t>АКТ № 08/8А от  31 августа 2017г.</t>
  </si>
  <si>
    <t>01.08.2017 - 31.08.2017</t>
  </si>
  <si>
    <t>01.09.2017 - 30.09.2017</t>
  </si>
  <si>
    <t>Ремонт межпанельных швов</t>
  </si>
  <si>
    <t>Ремонт подъездных козырьков</t>
  </si>
  <si>
    <t>ремонт подъездных козырьков</t>
  </si>
  <si>
    <t xml:space="preserve">реклама </t>
  </si>
  <si>
    <t>Недоборы(+), переборы(-)</t>
  </si>
  <si>
    <t>В.А.Пянзина</t>
  </si>
  <si>
    <t>Итого:</t>
  </si>
  <si>
    <t>Сальдо на
01.05.2017г</t>
  </si>
  <si>
    <t>С начала
периода</t>
  </si>
  <si>
    <t>Оплата за период</t>
  </si>
  <si>
    <t>Сальдо на
31.12.2017г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</si>
</sst>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wrapText="1"/>
    </xf>
    <xf numFmtId="2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2" fontId="22" fillId="0" borderId="15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2" fontId="27" fillId="0" borderId="10" xfId="0" applyNumberFormat="1" applyFont="1" applyFill="1" applyBorder="1" applyAlignment="1">
      <alignment horizontal="right"/>
    </xf>
    <xf numFmtId="2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2" fontId="12" fillId="0" borderId="12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24" borderId="0" xfId="0" applyFont="1" applyFill="1" applyAlignment="1">
      <alignment horizontal="left"/>
    </xf>
    <xf numFmtId="49" fontId="14" fillId="0" borderId="15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2" fontId="26" fillId="0" borderId="12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2" fontId="26" fillId="0" borderId="11" xfId="0" applyNumberFormat="1" applyFont="1" applyBorder="1" applyAlignment="1">
      <alignment/>
    </xf>
    <xf numFmtId="0" fontId="31" fillId="0" borderId="12" xfId="0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9" fontId="22" fillId="0" borderId="10" xfId="0" applyNumberFormat="1" applyFont="1" applyFill="1" applyBorder="1" applyAlignment="1">
      <alignment horizontal="left"/>
    </xf>
    <xf numFmtId="0" fontId="17" fillId="24" borderId="11" xfId="0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3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right"/>
    </xf>
    <xf numFmtId="0" fontId="33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2" fontId="16" fillId="0" borderId="11" xfId="0" applyNumberFormat="1" applyFont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right"/>
    </xf>
    <xf numFmtId="0" fontId="26" fillId="0" borderId="16" xfId="0" applyFont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12" xfId="0" applyFont="1" applyFill="1" applyBorder="1" applyAlignment="1">
      <alignment horizontal="right"/>
    </xf>
    <xf numFmtId="2" fontId="13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2" fontId="21" fillId="0" borderId="15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Fill="1" applyBorder="1" applyAlignment="1">
      <alignment/>
    </xf>
    <xf numFmtId="2" fontId="26" fillId="0" borderId="12" xfId="0" applyNumberFormat="1" applyFont="1" applyBorder="1" applyAlignment="1">
      <alignment/>
    </xf>
    <xf numFmtId="0" fontId="12" fillId="0" borderId="16" xfId="0" applyFont="1" applyFill="1" applyBorder="1" applyAlignment="1">
      <alignment/>
    </xf>
    <xf numFmtId="2" fontId="22" fillId="0" borderId="16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5" xfId="0" applyFont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2" xfId="0" applyNumberFormat="1" applyFont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2" fontId="21" fillId="0" borderId="12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1" fillId="0" borderId="15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4.00390625" style="101" customWidth="1"/>
    <col min="2" max="2" width="46.421875" style="101" customWidth="1"/>
    <col min="3" max="3" width="12.421875" style="101" customWidth="1"/>
    <col min="4" max="4" width="12.00390625" style="101" hidden="1" customWidth="1"/>
    <col min="5" max="7" width="10.8515625" style="101" hidden="1" customWidth="1"/>
    <col min="8" max="8" width="11.28125" style="101" hidden="1" customWidth="1"/>
    <col min="9" max="10" width="10.7109375" style="101" hidden="1" customWidth="1"/>
    <col min="11" max="11" width="11.57421875" style="101" hidden="1" customWidth="1"/>
    <col min="12" max="12" width="10.7109375" style="101" hidden="1" customWidth="1"/>
    <col min="13" max="13" width="12.00390625" style="101" hidden="1" customWidth="1"/>
    <col min="14" max="15" width="10.7109375" style="101" hidden="1" customWidth="1"/>
    <col min="16" max="16" width="12.8515625" style="101" customWidth="1"/>
    <col min="17" max="17" width="13.57421875" style="101" customWidth="1"/>
    <col min="18" max="18" width="13.28125" style="101" bestFit="1" customWidth="1"/>
    <col min="19" max="19" width="13.28125" style="100" bestFit="1" customWidth="1"/>
    <col min="20" max="20" width="13.140625" style="101" bestFit="1" customWidth="1"/>
    <col min="21" max="21" width="12.57421875" style="101" bestFit="1" customWidth="1"/>
    <col min="22" max="22" width="10.7109375" style="101" bestFit="1" customWidth="1"/>
    <col min="23" max="23" width="9.140625" style="101" customWidth="1"/>
    <col min="24" max="24" width="11.00390625" style="101" bestFit="1" customWidth="1"/>
    <col min="25" max="25" width="9.140625" style="101" customWidth="1"/>
    <col min="26" max="26" width="10.57421875" style="101" bestFit="1" customWidth="1"/>
    <col min="27" max="16384" width="9.140625" style="101" customWidth="1"/>
  </cols>
  <sheetData>
    <row r="1" spans="2:19" s="40" customFormat="1" ht="20.25" customHeight="1">
      <c r="B1" s="193" t="s">
        <v>139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41"/>
    </row>
    <row r="2" spans="2:19" s="42" customFormat="1" ht="36.75" customHeight="1">
      <c r="B2" s="43"/>
      <c r="C2" s="44" t="s">
        <v>199</v>
      </c>
      <c r="D2" s="45" t="s">
        <v>43</v>
      </c>
      <c r="E2" s="45" t="s">
        <v>44</v>
      </c>
      <c r="F2" s="45" t="s">
        <v>45</v>
      </c>
      <c r="G2" s="45" t="s">
        <v>46</v>
      </c>
      <c r="H2" s="45" t="s">
        <v>47</v>
      </c>
      <c r="I2" s="45" t="s">
        <v>48</v>
      </c>
      <c r="J2" s="45" t="s">
        <v>49</v>
      </c>
      <c r="K2" s="45" t="s">
        <v>50</v>
      </c>
      <c r="L2" s="45" t="s">
        <v>51</v>
      </c>
      <c r="M2" s="45" t="s">
        <v>52</v>
      </c>
      <c r="N2" s="45" t="s">
        <v>53</v>
      </c>
      <c r="O2" s="45" t="s">
        <v>54</v>
      </c>
      <c r="P2" s="45" t="s">
        <v>200</v>
      </c>
      <c r="Q2" s="44" t="s">
        <v>201</v>
      </c>
      <c r="R2" s="44" t="s">
        <v>202</v>
      </c>
      <c r="S2" s="46"/>
    </row>
    <row r="3" spans="2:19" s="47" customFormat="1" ht="15.75">
      <c r="B3" s="48" t="s">
        <v>58</v>
      </c>
      <c r="C3" s="49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1"/>
      <c r="P3" s="51"/>
      <c r="Q3" s="52"/>
      <c r="S3" s="53"/>
    </row>
    <row r="4" spans="2:19" s="54" customFormat="1" ht="15.75">
      <c r="B4" s="55" t="s">
        <v>112</v>
      </c>
      <c r="C4" s="56"/>
      <c r="D4" s="56"/>
      <c r="E4" s="56"/>
      <c r="F4" s="56"/>
      <c r="G4" s="56"/>
      <c r="H4" s="56">
        <v>37841.4</v>
      </c>
      <c r="I4" s="56">
        <v>37950.92</v>
      </c>
      <c r="J4" s="56">
        <v>37207.97</v>
      </c>
      <c r="K4" s="56">
        <v>37856.54</v>
      </c>
      <c r="L4" s="56">
        <v>37833.92</v>
      </c>
      <c r="M4" s="56">
        <v>37856.54</v>
      </c>
      <c r="N4" s="56">
        <v>37760.32</v>
      </c>
      <c r="O4" s="56">
        <v>37811.9</v>
      </c>
      <c r="P4" s="57">
        <f>H4+I4+J4+K4+L4+M4+N4+O4</f>
        <v>302119.51</v>
      </c>
      <c r="Q4" s="57">
        <v>245003.62</v>
      </c>
      <c r="R4" s="56">
        <f aca="true" t="shared" si="0" ref="R4:R25">C4+P4-Q4</f>
        <v>57115.890000000014</v>
      </c>
      <c r="S4" s="58"/>
    </row>
    <row r="5" spans="2:19" s="54" customFormat="1" ht="15.75">
      <c r="B5" s="55" t="s">
        <v>172</v>
      </c>
      <c r="C5" s="56"/>
      <c r="D5" s="56"/>
      <c r="E5" s="56"/>
      <c r="F5" s="56"/>
      <c r="G5" s="56"/>
      <c r="H5" s="56">
        <v>305.1</v>
      </c>
      <c r="I5" s="56">
        <v>267.35</v>
      </c>
      <c r="J5" s="56">
        <v>302.69</v>
      </c>
      <c r="K5" s="56">
        <v>305.26</v>
      </c>
      <c r="L5" s="56">
        <v>305.26</v>
      </c>
      <c r="M5" s="56">
        <v>305.26</v>
      </c>
      <c r="N5" s="57">
        <v>304.48</v>
      </c>
      <c r="O5" s="57">
        <v>304.9</v>
      </c>
      <c r="P5" s="57">
        <f aca="true" t="shared" si="1" ref="P5:P15">H5+I5+J5+K5+L5+M5+N5+O5</f>
        <v>2400.3</v>
      </c>
      <c r="Q5" s="57">
        <v>1929.91</v>
      </c>
      <c r="R5" s="56">
        <f t="shared" si="0"/>
        <v>470.3900000000001</v>
      </c>
      <c r="S5" s="58"/>
    </row>
    <row r="6" spans="2:19" s="54" customFormat="1" ht="15.75">
      <c r="B6" s="55" t="s">
        <v>173</v>
      </c>
      <c r="C6" s="56"/>
      <c r="D6" s="56"/>
      <c r="E6" s="56"/>
      <c r="F6" s="56"/>
      <c r="G6" s="56"/>
      <c r="H6" s="56"/>
      <c r="I6" s="56">
        <v>381.85</v>
      </c>
      <c r="J6" s="56">
        <v>381.39</v>
      </c>
      <c r="K6" s="56">
        <v>381.62</v>
      </c>
      <c r="L6" s="56">
        <v>381.62</v>
      </c>
      <c r="M6" s="56">
        <v>381.62</v>
      </c>
      <c r="N6" s="57">
        <v>380.65</v>
      </c>
      <c r="O6" s="57">
        <v>381.17</v>
      </c>
      <c r="P6" s="57">
        <f t="shared" si="1"/>
        <v>2669.92</v>
      </c>
      <c r="Q6" s="57">
        <v>2094.67</v>
      </c>
      <c r="R6" s="56">
        <f t="shared" si="0"/>
        <v>575.25</v>
      </c>
      <c r="S6" s="58"/>
    </row>
    <row r="7" spans="2:19" s="54" customFormat="1" ht="15.75">
      <c r="B7" s="55" t="s">
        <v>174</v>
      </c>
      <c r="C7" s="56"/>
      <c r="D7" s="56"/>
      <c r="E7" s="56"/>
      <c r="F7" s="56"/>
      <c r="G7" s="56"/>
      <c r="H7" s="56">
        <v>915.49</v>
      </c>
      <c r="I7" s="56">
        <v>801.95</v>
      </c>
      <c r="J7" s="56">
        <v>742.96</v>
      </c>
      <c r="K7" s="56">
        <v>839.59</v>
      </c>
      <c r="L7" s="56">
        <v>833.79</v>
      </c>
      <c r="M7" s="56">
        <v>833.79</v>
      </c>
      <c r="N7" s="57">
        <v>837.46</v>
      </c>
      <c r="O7" s="57">
        <v>838.6</v>
      </c>
      <c r="P7" s="57">
        <f t="shared" si="1"/>
        <v>6643.630000000001</v>
      </c>
      <c r="Q7" s="57">
        <v>5774.89</v>
      </c>
      <c r="R7" s="56">
        <f t="shared" si="0"/>
        <v>868.7400000000007</v>
      </c>
      <c r="S7" s="58"/>
    </row>
    <row r="8" spans="2:19" s="54" customFormat="1" ht="15.75">
      <c r="B8" s="55" t="s">
        <v>175</v>
      </c>
      <c r="C8" s="56"/>
      <c r="D8" s="56"/>
      <c r="E8" s="56"/>
      <c r="F8" s="56"/>
      <c r="G8" s="56"/>
      <c r="H8" s="56">
        <v>5989.06</v>
      </c>
      <c r="I8" s="56">
        <v>10615.29</v>
      </c>
      <c r="J8" s="56">
        <v>10805.17</v>
      </c>
      <c r="K8" s="56">
        <v>6942.2</v>
      </c>
      <c r="L8" s="56">
        <v>9498.32</v>
      </c>
      <c r="M8" s="57">
        <v>-15188.37</v>
      </c>
      <c r="N8" s="57">
        <v>7611.18</v>
      </c>
      <c r="O8" s="57">
        <v>-4878.91</v>
      </c>
      <c r="P8" s="57">
        <f t="shared" si="1"/>
        <v>31393.94</v>
      </c>
      <c r="Q8" s="57">
        <v>41327.07</v>
      </c>
      <c r="R8" s="56">
        <f t="shared" si="0"/>
        <v>-9933.130000000001</v>
      </c>
      <c r="S8" s="58"/>
    </row>
    <row r="9" spans="2:19" s="54" customFormat="1" ht="15.75">
      <c r="B9" s="55" t="s">
        <v>142</v>
      </c>
      <c r="C9" s="56"/>
      <c r="D9" s="56"/>
      <c r="E9" s="56"/>
      <c r="F9" s="56"/>
      <c r="G9" s="56"/>
      <c r="H9" s="56">
        <v>13351.28</v>
      </c>
      <c r="I9" s="56">
        <v>13364.62</v>
      </c>
      <c r="J9" s="56">
        <v>13195.59</v>
      </c>
      <c r="K9" s="56">
        <v>13356.64</v>
      </c>
      <c r="L9" s="56">
        <v>13338.66</v>
      </c>
      <c r="M9" s="56">
        <v>13356.64</v>
      </c>
      <c r="N9" s="57">
        <v>13322.69</v>
      </c>
      <c r="O9" s="57">
        <v>13340.89</v>
      </c>
      <c r="P9" s="57">
        <f t="shared" si="1"/>
        <v>106627.01000000001</v>
      </c>
      <c r="Q9" s="57">
        <v>86351.13</v>
      </c>
      <c r="R9" s="56">
        <f t="shared" si="0"/>
        <v>20275.880000000005</v>
      </c>
      <c r="S9" s="58"/>
    </row>
    <row r="10" spans="2:19" s="54" customFormat="1" ht="15.75">
      <c r="B10" s="55" t="s">
        <v>59</v>
      </c>
      <c r="C10" s="56"/>
      <c r="D10" s="56"/>
      <c r="E10" s="56"/>
      <c r="F10" s="56"/>
      <c r="G10" s="56"/>
      <c r="H10" s="56">
        <v>4692.06</v>
      </c>
      <c r="I10" s="56">
        <v>4696.72</v>
      </c>
      <c r="J10" s="56">
        <v>4591.64</v>
      </c>
      <c r="K10" s="56">
        <v>4693.92</v>
      </c>
      <c r="L10" s="56">
        <v>4691.12</v>
      </c>
      <c r="M10" s="56">
        <v>4693.92</v>
      </c>
      <c r="N10" s="56">
        <v>4681.98</v>
      </c>
      <c r="O10" s="56">
        <v>4688.38</v>
      </c>
      <c r="P10" s="57">
        <f t="shared" si="1"/>
        <v>37429.740000000005</v>
      </c>
      <c r="Q10" s="57">
        <v>30685.8</v>
      </c>
      <c r="R10" s="56">
        <f t="shared" si="0"/>
        <v>6743.940000000006</v>
      </c>
      <c r="S10" s="58"/>
    </row>
    <row r="11" spans="2:19" s="54" customFormat="1" ht="15.75">
      <c r="B11" s="55" t="s">
        <v>111</v>
      </c>
      <c r="C11" s="56"/>
      <c r="D11" s="56"/>
      <c r="E11" s="56"/>
      <c r="F11" s="56"/>
      <c r="G11" s="56"/>
      <c r="H11" s="56">
        <v>8392.23</v>
      </c>
      <c r="I11" s="56">
        <v>8400.62</v>
      </c>
      <c r="J11" s="56">
        <v>8268.44</v>
      </c>
      <c r="K11" s="56">
        <v>8395.6</v>
      </c>
      <c r="L11" s="56">
        <v>8390.6</v>
      </c>
      <c r="M11" s="56">
        <v>8395.6</v>
      </c>
      <c r="N11" s="56">
        <v>8374.26</v>
      </c>
      <c r="O11" s="56">
        <v>8385.7</v>
      </c>
      <c r="P11" s="57">
        <f t="shared" si="1"/>
        <v>67003.05</v>
      </c>
      <c r="Q11" s="57">
        <f>107.8+54321.37</f>
        <v>54429.170000000006</v>
      </c>
      <c r="R11" s="56">
        <f>C11+P11-Q11</f>
        <v>12573.879999999997</v>
      </c>
      <c r="S11" s="58"/>
    </row>
    <row r="12" spans="2:19" s="54" customFormat="1" ht="15.75">
      <c r="B12" s="55" t="s">
        <v>60</v>
      </c>
      <c r="C12" s="56"/>
      <c r="D12" s="56"/>
      <c r="E12" s="56"/>
      <c r="F12" s="56"/>
      <c r="G12" s="56"/>
      <c r="H12" s="56">
        <v>14915.25</v>
      </c>
      <c r="I12" s="56">
        <v>14967.9</v>
      </c>
      <c r="J12" s="56">
        <v>14416.53</v>
      </c>
      <c r="K12" s="56">
        <v>14956.66</v>
      </c>
      <c r="L12" s="56">
        <v>14945.42</v>
      </c>
      <c r="M12" s="56">
        <v>14956.66</v>
      </c>
      <c r="N12" s="56">
        <v>14908.83</v>
      </c>
      <c r="O12" s="56">
        <v>14934.47</v>
      </c>
      <c r="P12" s="57">
        <f t="shared" si="1"/>
        <v>119001.72</v>
      </c>
      <c r="Q12" s="57">
        <v>95014.89</v>
      </c>
      <c r="R12" s="56">
        <f t="shared" si="0"/>
        <v>23986.83</v>
      </c>
      <c r="S12" s="58"/>
    </row>
    <row r="13" spans="2:19" s="54" customFormat="1" ht="15.75">
      <c r="B13" s="55" t="s">
        <v>195</v>
      </c>
      <c r="C13" s="56"/>
      <c r="D13" s="56"/>
      <c r="E13" s="56"/>
      <c r="F13" s="56"/>
      <c r="G13" s="56"/>
      <c r="H13" s="56"/>
      <c r="I13" s="56"/>
      <c r="J13" s="56"/>
      <c r="K13" s="56">
        <v>500</v>
      </c>
      <c r="L13" s="56">
        <v>500</v>
      </c>
      <c r="M13" s="56">
        <v>500</v>
      </c>
      <c r="N13" s="56">
        <v>500</v>
      </c>
      <c r="O13" s="56">
        <v>500</v>
      </c>
      <c r="P13" s="57">
        <f t="shared" si="1"/>
        <v>2500</v>
      </c>
      <c r="Q13" s="57">
        <v>2000</v>
      </c>
      <c r="R13" s="56">
        <f t="shared" si="0"/>
        <v>500</v>
      </c>
      <c r="S13" s="58"/>
    </row>
    <row r="14" spans="2:21" s="54" customFormat="1" ht="15.75">
      <c r="B14" s="55" t="s">
        <v>63</v>
      </c>
      <c r="C14" s="56"/>
      <c r="D14" s="56"/>
      <c r="E14" s="56"/>
      <c r="F14" s="56"/>
      <c r="G14" s="56"/>
      <c r="H14" s="56">
        <v>300</v>
      </c>
      <c r="I14" s="56">
        <v>300</v>
      </c>
      <c r="J14" s="56">
        <v>300</v>
      </c>
      <c r="K14" s="56">
        <f>300</f>
        <v>300</v>
      </c>
      <c r="L14" s="56">
        <f>300</f>
        <v>300</v>
      </c>
      <c r="M14" s="56">
        <v>5633</v>
      </c>
      <c r="N14" s="56">
        <v>5633</v>
      </c>
      <c r="O14" s="56">
        <v>5634</v>
      </c>
      <c r="P14" s="57">
        <f t="shared" si="1"/>
        <v>18400</v>
      </c>
      <c r="Q14" s="56">
        <v>2100</v>
      </c>
      <c r="R14" s="56">
        <f t="shared" si="0"/>
        <v>16300</v>
      </c>
      <c r="S14" s="58"/>
      <c r="U14" s="58"/>
    </row>
    <row r="15" spans="2:21" s="54" customFormat="1" ht="15.75">
      <c r="B15" s="141">
        <v>0.15</v>
      </c>
      <c r="C15" s="56"/>
      <c r="D15" s="56">
        <f aca="true" t="shared" si="2" ref="D15:O15">-(D14+D13)*15%</f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 t="shared" si="2"/>
        <v>-45</v>
      </c>
      <c r="I15" s="56">
        <f t="shared" si="2"/>
        <v>-45</v>
      </c>
      <c r="J15" s="56">
        <f t="shared" si="2"/>
        <v>-45</v>
      </c>
      <c r="K15" s="56">
        <f t="shared" si="2"/>
        <v>-120</v>
      </c>
      <c r="L15" s="56">
        <f t="shared" si="2"/>
        <v>-120</v>
      </c>
      <c r="M15" s="56">
        <f t="shared" si="2"/>
        <v>-919.9499999999999</v>
      </c>
      <c r="N15" s="56">
        <f t="shared" si="2"/>
        <v>-919.9499999999999</v>
      </c>
      <c r="O15" s="56">
        <f t="shared" si="2"/>
        <v>-920.1</v>
      </c>
      <c r="P15" s="57">
        <f t="shared" si="1"/>
        <v>-3134.9999999999995</v>
      </c>
      <c r="Q15" s="56">
        <f>-Q14*15%</f>
        <v>-315</v>
      </c>
      <c r="R15" s="56">
        <f t="shared" si="0"/>
        <v>-2819.9999999999995</v>
      </c>
      <c r="S15" s="58"/>
      <c r="U15" s="58"/>
    </row>
    <row r="16" spans="2:19" s="59" customFormat="1" ht="15.75">
      <c r="B16" s="60" t="s">
        <v>109</v>
      </c>
      <c r="C16" s="61"/>
      <c r="D16" s="61">
        <f>SUM(D4:D15)</f>
        <v>0</v>
      </c>
      <c r="E16" s="61">
        <f>SUM(E4:E15)</f>
        <v>0</v>
      </c>
      <c r="F16" s="61">
        <f>SUM(F4:F15)</f>
        <v>0</v>
      </c>
      <c r="G16" s="61">
        <f>SUM(G4:G15)</f>
        <v>0</v>
      </c>
      <c r="H16" s="61">
        <f>H4+H5+H6+H7+H8+H9+H10+H11+H12+H13+H14+H15</f>
        <v>86656.87</v>
      </c>
      <c r="I16" s="61">
        <f aca="true" t="shared" si="3" ref="I16:R16">I4+I5+I6+I7+I8+I9+I10+I11+I12+I13+I14+I15</f>
        <v>91702.21999999999</v>
      </c>
      <c r="J16" s="61">
        <f t="shared" si="3"/>
        <v>90167.38</v>
      </c>
      <c r="K16" s="61">
        <f t="shared" si="3"/>
        <v>88408.03</v>
      </c>
      <c r="L16" s="61">
        <f t="shared" si="3"/>
        <v>90898.71</v>
      </c>
      <c r="M16" s="61">
        <f t="shared" si="3"/>
        <v>70804.71</v>
      </c>
      <c r="N16" s="61">
        <f t="shared" si="3"/>
        <v>93394.90000000001</v>
      </c>
      <c r="O16" s="61">
        <f t="shared" si="3"/>
        <v>81021</v>
      </c>
      <c r="P16" s="61">
        <f t="shared" si="3"/>
        <v>693053.82</v>
      </c>
      <c r="Q16" s="61">
        <f t="shared" si="3"/>
        <v>566396.15</v>
      </c>
      <c r="R16" s="61">
        <f t="shared" si="3"/>
        <v>126657.67000000003</v>
      </c>
      <c r="S16" s="62"/>
    </row>
    <row r="17" spans="2:19" s="54" customFormat="1" ht="15.75">
      <c r="B17" s="60"/>
      <c r="C17" s="56"/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57"/>
      <c r="R17" s="56"/>
      <c r="S17" s="58"/>
    </row>
    <row r="18" spans="2:21" s="54" customFormat="1" ht="15.75">
      <c r="B18" s="191" t="s">
        <v>67</v>
      </c>
      <c r="C18" s="192"/>
      <c r="D18" s="66"/>
      <c r="E18" s="66"/>
      <c r="F18" s="66"/>
      <c r="G18" s="66"/>
      <c r="H18" s="66"/>
      <c r="I18" s="66"/>
      <c r="J18" s="180"/>
      <c r="K18" s="67"/>
      <c r="L18" s="67"/>
      <c r="M18" s="67"/>
      <c r="N18" s="67"/>
      <c r="O18" s="67"/>
      <c r="P18" s="57"/>
      <c r="Q18" s="67"/>
      <c r="R18" s="56"/>
      <c r="S18" s="68"/>
      <c r="T18" s="69"/>
      <c r="U18" s="69"/>
    </row>
    <row r="19" spans="2:19" s="54" customFormat="1" ht="15.75">
      <c r="B19" s="55" t="s">
        <v>39</v>
      </c>
      <c r="C19" s="56"/>
      <c r="D19" s="56"/>
      <c r="E19" s="56"/>
      <c r="F19" s="56"/>
      <c r="G19" s="56"/>
      <c r="H19" s="56">
        <v>7844.26</v>
      </c>
      <c r="I19" s="57">
        <v>10020.37</v>
      </c>
      <c r="J19" s="56">
        <v>28528.85</v>
      </c>
      <c r="K19" s="178">
        <v>-157797.4</v>
      </c>
      <c r="L19" s="57">
        <v>8057.17</v>
      </c>
      <c r="M19" s="57">
        <v>8250.17</v>
      </c>
      <c r="N19" s="57">
        <v>173143.84</v>
      </c>
      <c r="O19" s="57">
        <v>7875.98</v>
      </c>
      <c r="P19" s="57">
        <f>SUM(D19:O19)</f>
        <v>85923.23999999999</v>
      </c>
      <c r="Q19" s="57">
        <v>50419.59</v>
      </c>
      <c r="R19" s="56">
        <f t="shared" si="0"/>
        <v>35503.649999999994</v>
      </c>
      <c r="S19" s="58"/>
    </row>
    <row r="20" spans="2:19" s="54" customFormat="1" ht="15.75">
      <c r="B20" s="55" t="s">
        <v>40</v>
      </c>
      <c r="C20" s="56"/>
      <c r="D20" s="56"/>
      <c r="E20" s="56"/>
      <c r="F20" s="56"/>
      <c r="G20" s="56"/>
      <c r="H20" s="56">
        <v>9450.47</v>
      </c>
      <c r="I20" s="57">
        <v>11528.89</v>
      </c>
      <c r="J20" s="56">
        <v>34498.38</v>
      </c>
      <c r="K20" s="178">
        <v>-120537.69</v>
      </c>
      <c r="L20" s="57">
        <v>9838.26</v>
      </c>
      <c r="M20" s="57">
        <v>9810.06</v>
      </c>
      <c r="N20" s="57">
        <v>138509.07</v>
      </c>
      <c r="O20" s="57">
        <v>8901.76</v>
      </c>
      <c r="P20" s="57">
        <f>SUM(D20:O20)</f>
        <v>101999.2</v>
      </c>
      <c r="Q20" s="57">
        <v>57463.49</v>
      </c>
      <c r="R20" s="56">
        <f t="shared" si="0"/>
        <v>44535.71</v>
      </c>
      <c r="S20" s="58"/>
    </row>
    <row r="21" spans="2:19" s="54" customFormat="1" ht="15.75">
      <c r="B21" s="55" t="s">
        <v>36</v>
      </c>
      <c r="C21" s="56"/>
      <c r="D21" s="56"/>
      <c r="E21" s="56"/>
      <c r="F21" s="56"/>
      <c r="G21" s="56"/>
      <c r="H21" s="56">
        <v>28222.5</v>
      </c>
      <c r="I21" s="57">
        <v>28215.68</v>
      </c>
      <c r="J21" s="56">
        <v>27999.11</v>
      </c>
      <c r="K21" s="178">
        <v>22230.51</v>
      </c>
      <c r="L21" s="57">
        <v>29542.22</v>
      </c>
      <c r="M21" s="57">
        <v>28259.69</v>
      </c>
      <c r="N21" s="57">
        <v>34544.38</v>
      </c>
      <c r="O21" s="57">
        <v>30798.56</v>
      </c>
      <c r="P21" s="57">
        <f>SUM(D21:O21)</f>
        <v>229812.65000000002</v>
      </c>
      <c r="Q21" s="57">
        <f>178858.72+204.22</f>
        <v>179062.94</v>
      </c>
      <c r="R21" s="56">
        <f t="shared" si="0"/>
        <v>50749.71000000002</v>
      </c>
      <c r="S21" s="58"/>
    </row>
    <row r="22" spans="2:19" s="54" customFormat="1" ht="15.75">
      <c r="B22" s="55" t="s">
        <v>71</v>
      </c>
      <c r="C22" s="56"/>
      <c r="D22" s="56"/>
      <c r="E22" s="56"/>
      <c r="F22" s="56"/>
      <c r="G22" s="56"/>
      <c r="H22" s="56">
        <v>23548.96</v>
      </c>
      <c r="I22" s="57"/>
      <c r="J22" s="56">
        <v>-2280.4</v>
      </c>
      <c r="K22" s="179"/>
      <c r="L22" s="56">
        <v>5623.76</v>
      </c>
      <c r="M22" s="56">
        <v>46244.89</v>
      </c>
      <c r="N22" s="57">
        <v>63438.57</v>
      </c>
      <c r="O22" s="57">
        <v>103508.09</v>
      </c>
      <c r="P22" s="57">
        <f>SUM(D22:O22)</f>
        <v>240083.87</v>
      </c>
      <c r="Q22" s="57">
        <v>127898.87</v>
      </c>
      <c r="R22" s="56">
        <f t="shared" si="0"/>
        <v>112185</v>
      </c>
      <c r="S22" s="58"/>
    </row>
    <row r="23" spans="2:19" s="54" customFormat="1" ht="15.75">
      <c r="B23" s="55" t="s">
        <v>38</v>
      </c>
      <c r="C23" s="56"/>
      <c r="D23" s="56"/>
      <c r="E23" s="56"/>
      <c r="F23" s="56"/>
      <c r="G23" s="56"/>
      <c r="H23" s="56">
        <v>18170.41</v>
      </c>
      <c r="I23" s="57">
        <v>20820.06</v>
      </c>
      <c r="J23" s="56">
        <v>67165.08</v>
      </c>
      <c r="K23" s="178">
        <v>-62468.66</v>
      </c>
      <c r="L23" s="57">
        <v>19234.12</v>
      </c>
      <c r="M23" s="57">
        <v>18545.58</v>
      </c>
      <c r="N23" s="57">
        <v>93189.62</v>
      </c>
      <c r="O23" s="57">
        <v>15686.07</v>
      </c>
      <c r="P23" s="57">
        <f>SUM(D23:O23)</f>
        <v>190342.28</v>
      </c>
      <c r="Q23" s="57">
        <f>99473.88+59.8</f>
        <v>99533.68000000001</v>
      </c>
      <c r="R23" s="56">
        <f t="shared" si="0"/>
        <v>90808.59999999999</v>
      </c>
      <c r="S23" s="58"/>
    </row>
    <row r="24" spans="2:19" s="59" customFormat="1" ht="15.75">
      <c r="B24" s="60" t="s">
        <v>75</v>
      </c>
      <c r="C24" s="61">
        <f aca="true" t="shared" si="4" ref="C24:R24">C19+C20+C21+C22+C23</f>
        <v>0</v>
      </c>
      <c r="D24" s="61">
        <f t="shared" si="4"/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87236.6</v>
      </c>
      <c r="I24" s="61">
        <f t="shared" si="4"/>
        <v>70585</v>
      </c>
      <c r="J24" s="61">
        <f t="shared" si="4"/>
        <v>155911.02000000002</v>
      </c>
      <c r="K24" s="61">
        <f t="shared" si="4"/>
        <v>-318573.24</v>
      </c>
      <c r="L24" s="61">
        <f t="shared" si="4"/>
        <v>72295.53</v>
      </c>
      <c r="M24" s="61">
        <f t="shared" si="4"/>
        <v>111110.39</v>
      </c>
      <c r="N24" s="61">
        <f t="shared" si="4"/>
        <v>502825.48000000004</v>
      </c>
      <c r="O24" s="61">
        <f t="shared" si="4"/>
        <v>166770.46000000002</v>
      </c>
      <c r="P24" s="61">
        <f t="shared" si="4"/>
        <v>848161.24</v>
      </c>
      <c r="Q24" s="61">
        <f t="shared" si="4"/>
        <v>514378.57</v>
      </c>
      <c r="R24" s="61">
        <f t="shared" si="4"/>
        <v>333782.67</v>
      </c>
      <c r="S24" s="62"/>
    </row>
    <row r="25" spans="2:19" s="59" customFormat="1" ht="15.75">
      <c r="B25" s="60" t="s">
        <v>76</v>
      </c>
      <c r="C25" s="61">
        <f aca="true" t="shared" si="5" ref="C25:O25">C24+C16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173893.47</v>
      </c>
      <c r="I25" s="61">
        <f t="shared" si="5"/>
        <v>162287.21999999997</v>
      </c>
      <c r="J25" s="61">
        <f t="shared" si="5"/>
        <v>246078.40000000002</v>
      </c>
      <c r="K25" s="61">
        <f t="shared" si="5"/>
        <v>-230165.21</v>
      </c>
      <c r="L25" s="61">
        <f t="shared" si="5"/>
        <v>163194.24</v>
      </c>
      <c r="M25" s="61">
        <f t="shared" si="5"/>
        <v>181915.1</v>
      </c>
      <c r="N25" s="61">
        <f t="shared" si="5"/>
        <v>596220.38</v>
      </c>
      <c r="O25" s="61">
        <f t="shared" si="5"/>
        <v>247791.46000000002</v>
      </c>
      <c r="P25" s="64">
        <f>SUM(D25:O25)</f>
        <v>1541215.06</v>
      </c>
      <c r="Q25" s="61">
        <f>Q24+Q16</f>
        <v>1080774.72</v>
      </c>
      <c r="R25" s="61">
        <f t="shared" si="0"/>
        <v>460440.3400000001</v>
      </c>
      <c r="S25" s="62"/>
    </row>
    <row r="26" spans="2:19" s="59" customFormat="1" ht="1.5" customHeight="1">
      <c r="B26" s="63" t="s">
        <v>64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 t="e">
        <f>#REF!+#REF!</f>
        <v>#REF!</v>
      </c>
      <c r="R26" s="61"/>
      <c r="S26" s="62"/>
    </row>
    <row r="27" spans="2:19" s="59" customFormat="1" ht="15.75" hidden="1">
      <c r="B27" s="63" t="s">
        <v>65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 t="e">
        <f>#REF!</f>
        <v>#REF!</v>
      </c>
      <c r="R27" s="61"/>
      <c r="S27" s="62"/>
    </row>
    <row r="28" spans="2:19" s="59" customFormat="1" ht="15.75" hidden="1">
      <c r="B28" s="65" t="s">
        <v>66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 t="e">
        <f>#REF!+#REF!</f>
        <v>#REF!</v>
      </c>
      <c r="R28" s="70"/>
      <c r="S28" s="62"/>
    </row>
    <row r="29" spans="2:19" s="59" customFormat="1" ht="15.7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2"/>
    </row>
    <row r="30" spans="1:19" s="75" customFormat="1" ht="17.25" customHeight="1">
      <c r="A30" s="73"/>
      <c r="B30" s="194" t="s">
        <v>147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6"/>
      <c r="S30" s="74"/>
    </row>
    <row r="31" spans="1:19" s="75" customFormat="1" ht="17.25" customHeight="1">
      <c r="A31" s="76"/>
      <c r="B31" s="197" t="s">
        <v>58</v>
      </c>
      <c r="C31" s="197"/>
      <c r="D31" s="77"/>
      <c r="E31" s="77"/>
      <c r="F31" s="77"/>
      <c r="G31" s="77"/>
      <c r="H31" s="77"/>
      <c r="I31" s="166"/>
      <c r="J31" s="167"/>
      <c r="K31" s="167"/>
      <c r="L31" s="78"/>
      <c r="M31" s="78"/>
      <c r="N31" s="78"/>
      <c r="O31" s="78"/>
      <c r="P31" s="78"/>
      <c r="Q31" s="74"/>
      <c r="R31" s="79"/>
      <c r="S31" s="74"/>
    </row>
    <row r="32" spans="2:19" s="42" customFormat="1" ht="36.75" customHeight="1">
      <c r="B32" s="43"/>
      <c r="C32" s="44" t="s">
        <v>199</v>
      </c>
      <c r="D32" s="45" t="s">
        <v>43</v>
      </c>
      <c r="E32" s="45" t="s">
        <v>44</v>
      </c>
      <c r="F32" s="45" t="s">
        <v>45</v>
      </c>
      <c r="G32" s="45" t="s">
        <v>46</v>
      </c>
      <c r="H32" s="45" t="s">
        <v>47</v>
      </c>
      <c r="I32" s="45" t="s">
        <v>48</v>
      </c>
      <c r="J32" s="45" t="s">
        <v>49</v>
      </c>
      <c r="K32" s="45" t="s">
        <v>50</v>
      </c>
      <c r="L32" s="45" t="s">
        <v>51</v>
      </c>
      <c r="M32" s="45" t="s">
        <v>52</v>
      </c>
      <c r="N32" s="45" t="s">
        <v>53</v>
      </c>
      <c r="O32" s="45" t="s">
        <v>54</v>
      </c>
      <c r="P32" s="45" t="s">
        <v>200</v>
      </c>
      <c r="Q32" s="44" t="s">
        <v>201</v>
      </c>
      <c r="R32" s="44" t="s">
        <v>202</v>
      </c>
      <c r="S32" s="46"/>
    </row>
    <row r="33" spans="1:21" s="88" customFormat="1" ht="14.25">
      <c r="A33" s="84">
        <v>1</v>
      </c>
      <c r="B33" s="119" t="s">
        <v>100</v>
      </c>
      <c r="C33" s="86">
        <f>C34+C38+C39+C40+C41+C46+C47</f>
        <v>0</v>
      </c>
      <c r="D33" s="86">
        <f>D34+D38+D39+D40+D41+D46+D42+D43+D44+D45+D46+D47</f>
        <v>0</v>
      </c>
      <c r="E33" s="86">
        <f>E34+E38+E39+E40+E41+E46+E42+E43+E44+E45+E46+E47</f>
        <v>0</v>
      </c>
      <c r="F33" s="86">
        <f>F34+F38+F39+F40+F41+F46+F42+F43+F44+F45+F46+F47</f>
        <v>0</v>
      </c>
      <c r="G33" s="86">
        <f>G34+G38+G39+G40+G41+G46+G42+G43+G44+G45+G46+G47</f>
        <v>0</v>
      </c>
      <c r="H33" s="86">
        <f>H34+H38+H39+H40+H41+H46+H42+H43+H44+H45+H47</f>
        <v>40033.38</v>
      </c>
      <c r="I33" s="86">
        <f aca="true" t="shared" si="6" ref="I33:O33">I34+I38+I39+I40+I41+I46+I42+I43+I44+I45+I47</f>
        <v>45391.22</v>
      </c>
      <c r="J33" s="86">
        <f t="shared" si="6"/>
        <v>39390.58</v>
      </c>
      <c r="K33" s="86">
        <f t="shared" si="6"/>
        <v>41574.729999999996</v>
      </c>
      <c r="L33" s="86">
        <f t="shared" si="6"/>
        <v>40527.68</v>
      </c>
      <c r="M33" s="86">
        <f t="shared" si="6"/>
        <v>39960.63999999999</v>
      </c>
      <c r="N33" s="86">
        <f t="shared" si="6"/>
        <v>39839.47</v>
      </c>
      <c r="O33" s="86">
        <f t="shared" si="6"/>
        <v>47614.16</v>
      </c>
      <c r="P33" s="86">
        <f>SUM(D33:O33)</f>
        <v>334331.86</v>
      </c>
      <c r="Q33" s="86">
        <f>Q34+Q38+Q39+Q40+Q41+Q46+Q42+Q43+Q44+Q45+Q47</f>
        <v>273576.31999999995</v>
      </c>
      <c r="R33" s="86">
        <f>R34+R38+R39+R40+R41+R46+R42+R43+R44+R45+R47</f>
        <v>60755.53999999998</v>
      </c>
      <c r="S33" s="87"/>
      <c r="U33" s="87"/>
    </row>
    <row r="34" spans="1:21" ht="31.5" customHeight="1">
      <c r="A34" s="96"/>
      <c r="B34" s="118" t="s">
        <v>96</v>
      </c>
      <c r="C34" s="128"/>
      <c r="D34" s="128">
        <f>D35+D36+D37</f>
        <v>0</v>
      </c>
      <c r="E34" s="128">
        <f aca="true" t="shared" si="7" ref="E34:R34">E35+E36+E37</f>
        <v>0</v>
      </c>
      <c r="F34" s="128">
        <f t="shared" si="7"/>
        <v>0</v>
      </c>
      <c r="G34" s="128">
        <f t="shared" si="7"/>
        <v>0</v>
      </c>
      <c r="H34" s="128">
        <f t="shared" si="7"/>
        <v>12751.26</v>
      </c>
      <c r="I34" s="128">
        <f>I35+I36+I37</f>
        <v>14628.89</v>
      </c>
      <c r="J34" s="128">
        <f t="shared" si="7"/>
        <v>14628.88</v>
      </c>
      <c r="K34" s="128">
        <f t="shared" si="7"/>
        <v>14628.9</v>
      </c>
      <c r="L34" s="128">
        <f t="shared" si="7"/>
        <v>14628.88</v>
      </c>
      <c r="M34" s="128">
        <f t="shared" si="7"/>
        <v>14628.9</v>
      </c>
      <c r="N34" s="128">
        <f t="shared" si="7"/>
        <v>15900.89</v>
      </c>
      <c r="O34" s="128">
        <f t="shared" si="7"/>
        <v>16926</v>
      </c>
      <c r="P34" s="128">
        <f t="shared" si="7"/>
        <v>118722.59999999998</v>
      </c>
      <c r="Q34" s="128">
        <f t="shared" si="7"/>
        <v>101796.59999999999</v>
      </c>
      <c r="R34" s="128">
        <f t="shared" si="7"/>
        <v>16926</v>
      </c>
      <c r="T34" s="88"/>
      <c r="U34" s="100"/>
    </row>
    <row r="35" spans="1:20" s="95" customFormat="1" ht="15">
      <c r="A35" s="89"/>
      <c r="B35" s="117" t="s">
        <v>91</v>
      </c>
      <c r="C35" s="129"/>
      <c r="D35" s="129">
        <f>январь!E13</f>
        <v>0</v>
      </c>
      <c r="E35" s="129">
        <f>февраль!E13</f>
        <v>0</v>
      </c>
      <c r="F35" s="129">
        <f>март!E13</f>
        <v>0</v>
      </c>
      <c r="G35" s="129">
        <f>апрель!E13</f>
        <v>0</v>
      </c>
      <c r="H35" s="129">
        <f>май!E13</f>
        <v>7250.94</v>
      </c>
      <c r="I35" s="129">
        <f>июнь!E15</f>
        <v>8463</v>
      </c>
      <c r="J35" s="90">
        <f>июль!E13</f>
        <v>8462.99</v>
      </c>
      <c r="K35" s="91">
        <f>август!E15</f>
        <v>8462.99</v>
      </c>
      <c r="L35" s="91">
        <f>сентябрь!E13</f>
        <v>8462.99</v>
      </c>
      <c r="M35" s="91">
        <f>октябрь!E13</f>
        <v>8462.99</v>
      </c>
      <c r="N35" s="91">
        <f>'ноябрь '!E15</f>
        <v>9735</v>
      </c>
      <c r="O35" s="91">
        <f>декабрь!E15</f>
        <v>10760.11</v>
      </c>
      <c r="P35" s="92">
        <f>H35+I35+J35+K35+L35+M35+N35+O35</f>
        <v>70061.01</v>
      </c>
      <c r="Q35" s="93">
        <f>P35-O35</f>
        <v>59300.899999999994</v>
      </c>
      <c r="R35" s="121">
        <f aca="true" t="shared" si="8" ref="R35:R79">C35+P35-Q35</f>
        <v>10760.11</v>
      </c>
      <c r="S35" s="94"/>
      <c r="T35" s="88"/>
    </row>
    <row r="36" spans="1:20" s="95" customFormat="1" ht="15">
      <c r="A36" s="89"/>
      <c r="B36" s="117" t="s">
        <v>92</v>
      </c>
      <c r="C36" s="129"/>
      <c r="D36" s="129">
        <f>январь!E16</f>
        <v>0</v>
      </c>
      <c r="E36" s="129">
        <f>февраль!E15</f>
        <v>0</v>
      </c>
      <c r="F36" s="129">
        <f>март!E15</f>
        <v>0</v>
      </c>
      <c r="G36" s="129">
        <f>апрель!E15</f>
        <v>0</v>
      </c>
      <c r="H36" s="129">
        <f>май!E15</f>
        <v>1873.33</v>
      </c>
      <c r="I36" s="129">
        <f>июнь!E19</f>
        <v>2538.9</v>
      </c>
      <c r="J36" s="90">
        <f>июль!E15</f>
        <v>2538.9</v>
      </c>
      <c r="K36" s="91">
        <f>август!E19</f>
        <v>2538.92</v>
      </c>
      <c r="L36" s="91">
        <f>сентябрь!E18</f>
        <v>2538.9</v>
      </c>
      <c r="M36" s="91">
        <f>октябрь!E18</f>
        <v>2538.92</v>
      </c>
      <c r="N36" s="91">
        <f>'ноябрь '!E18</f>
        <v>2538.9</v>
      </c>
      <c r="O36" s="91">
        <f>декабрь!E18</f>
        <v>2538.9</v>
      </c>
      <c r="P36" s="92">
        <f aca="true" t="shared" si="9" ref="P36:P46">H36+I36+J36+K36+L36+M36+N36+O36</f>
        <v>19645.670000000002</v>
      </c>
      <c r="Q36" s="93">
        <f>P36-O36</f>
        <v>17106.77</v>
      </c>
      <c r="R36" s="121">
        <f t="shared" si="8"/>
        <v>2538.9000000000015</v>
      </c>
      <c r="S36" s="94"/>
      <c r="T36" s="88"/>
    </row>
    <row r="37" spans="1:20" s="95" customFormat="1" ht="15">
      <c r="A37" s="89"/>
      <c r="B37" s="117" t="s">
        <v>97</v>
      </c>
      <c r="C37" s="129"/>
      <c r="D37" s="129">
        <f>январь!E41</f>
        <v>0</v>
      </c>
      <c r="E37" s="129">
        <f>февраль!E40</f>
        <v>0</v>
      </c>
      <c r="F37" s="129">
        <f>март!E40</f>
        <v>0</v>
      </c>
      <c r="G37" s="129">
        <f>апрель!E40</f>
        <v>0</v>
      </c>
      <c r="H37" s="129">
        <f>май!E40</f>
        <v>3626.99</v>
      </c>
      <c r="I37" s="129">
        <f>июнь!E44</f>
        <v>3626.99</v>
      </c>
      <c r="J37" s="90">
        <f>июль!E41</f>
        <v>3626.99</v>
      </c>
      <c r="K37" s="91">
        <f>август!E44</f>
        <v>3626.99</v>
      </c>
      <c r="L37" s="91">
        <f>сентябрь!E43</f>
        <v>3626.99</v>
      </c>
      <c r="M37" s="91">
        <f>октябрь!E43</f>
        <v>3626.99</v>
      </c>
      <c r="N37" s="91">
        <f>'ноябрь '!E43</f>
        <v>3626.99</v>
      </c>
      <c r="O37" s="91">
        <f>декабрь!E43</f>
        <v>3626.99</v>
      </c>
      <c r="P37" s="92">
        <f t="shared" si="9"/>
        <v>29015.91999999999</v>
      </c>
      <c r="Q37" s="93">
        <f>P37-O37</f>
        <v>25388.929999999993</v>
      </c>
      <c r="R37" s="121">
        <f t="shared" si="8"/>
        <v>3626.989999999998</v>
      </c>
      <c r="S37" s="94"/>
      <c r="T37" s="88"/>
    </row>
    <row r="38" spans="1:20" ht="15">
      <c r="A38" s="96"/>
      <c r="B38" s="122" t="s">
        <v>93</v>
      </c>
      <c r="C38" s="128"/>
      <c r="D38" s="128">
        <f>январь!F13+январь!F16+январь!F41</f>
        <v>0</v>
      </c>
      <c r="E38" s="128">
        <f>февраль!F40+февраль!F15+февраль!F13</f>
        <v>0</v>
      </c>
      <c r="F38" s="128">
        <f>март!F13++март!F15+март!F40</f>
        <v>0</v>
      </c>
      <c r="G38" s="128">
        <f>апрель!F13+апрель!F15+апрель!F40</f>
        <v>0</v>
      </c>
      <c r="H38" s="98">
        <f>май!F13+май!F15+май!F40</f>
        <v>600</v>
      </c>
      <c r="I38" s="98">
        <f>июнь!F13+июнь!F19+июнь!F15+июнь!F17</f>
        <v>1324.7</v>
      </c>
      <c r="J38" s="99">
        <f>июль!F13+июль!F15+июль!F41</f>
        <v>458</v>
      </c>
      <c r="K38" s="99">
        <f>август!F15+август!F19</f>
        <v>312</v>
      </c>
      <c r="L38" s="99">
        <f>сентябрь!F15+сентябрь!F18+сентябрь!F43</f>
        <v>313</v>
      </c>
      <c r="M38" s="99">
        <f>октябрь!F15+октябрь!F18+октябрь!F43</f>
        <v>979</v>
      </c>
      <c r="N38" s="91">
        <f>'ноябрь '!F15+'ноябрь '!F18+'ноябрь '!F43</f>
        <v>465</v>
      </c>
      <c r="O38" s="91">
        <f>декабрь!F15+декабрь!F18+декабрь!F43</f>
        <v>393</v>
      </c>
      <c r="P38" s="98">
        <f t="shared" si="9"/>
        <v>4844.7</v>
      </c>
      <c r="Q38" s="99">
        <f>P38</f>
        <v>4844.7</v>
      </c>
      <c r="R38" s="121">
        <f t="shared" si="8"/>
        <v>0</v>
      </c>
      <c r="T38" s="88"/>
    </row>
    <row r="39" spans="1:20" ht="15">
      <c r="A39" s="96"/>
      <c r="B39" s="123" t="s">
        <v>17</v>
      </c>
      <c r="C39" s="128"/>
      <c r="D39" s="128">
        <f>январь!G43</f>
        <v>0</v>
      </c>
      <c r="E39" s="128">
        <f>февраль!G42</f>
        <v>0</v>
      </c>
      <c r="F39" s="128">
        <f>март!H42</f>
        <v>0</v>
      </c>
      <c r="G39" s="128">
        <f>апрель!I42</f>
        <v>0</v>
      </c>
      <c r="H39" s="128">
        <v>14529.2</v>
      </c>
      <c r="I39" s="98">
        <f>июнь!G46</f>
        <v>14529.2</v>
      </c>
      <c r="J39" s="99">
        <f>июль!G43</f>
        <v>14529.2</v>
      </c>
      <c r="K39" s="99">
        <f>август!G46</f>
        <v>14529.2</v>
      </c>
      <c r="L39" s="99">
        <f>сентябрь!G45</f>
        <v>14529.2</v>
      </c>
      <c r="M39" s="120">
        <f>октябрь!E45</f>
        <v>14529.2</v>
      </c>
      <c r="N39" s="120">
        <f>'ноябрь '!G45</f>
        <v>14529.2</v>
      </c>
      <c r="O39" s="120">
        <f>декабрь!G45</f>
        <v>14529.2</v>
      </c>
      <c r="P39" s="98">
        <f t="shared" si="9"/>
        <v>116233.59999999999</v>
      </c>
      <c r="Q39" s="99">
        <f>Q12</f>
        <v>95014.89</v>
      </c>
      <c r="R39" s="121">
        <f t="shared" si="8"/>
        <v>21218.709999999992</v>
      </c>
      <c r="T39" s="88"/>
    </row>
    <row r="40" spans="1:20" ht="15.75">
      <c r="A40" s="96"/>
      <c r="B40" s="55" t="s">
        <v>111</v>
      </c>
      <c r="C40" s="128"/>
      <c r="D40" s="128">
        <f>январь!E42</f>
        <v>0</v>
      </c>
      <c r="E40" s="128">
        <f>февраль!G41</f>
        <v>0</v>
      </c>
      <c r="F40" s="128">
        <f>март!G41</f>
        <v>0</v>
      </c>
      <c r="G40" s="128">
        <f>апрель!G41</f>
        <v>0</v>
      </c>
      <c r="H40" s="98">
        <f>май!G41</f>
        <v>8333.38</v>
      </c>
      <c r="I40" s="98">
        <f>июнь!G45</f>
        <v>8344.38</v>
      </c>
      <c r="J40" s="99">
        <f>июль!G42</f>
        <v>8333.38</v>
      </c>
      <c r="K40" s="99">
        <f>август!G45</f>
        <v>8333.38</v>
      </c>
      <c r="L40" s="99">
        <f>сентябрь!G44</f>
        <v>8333.38</v>
      </c>
      <c r="M40" s="91">
        <f>октябрь!E44</f>
        <v>8333.38</v>
      </c>
      <c r="N40" s="91">
        <f>'ноябрь '!G44</f>
        <v>8333.38</v>
      </c>
      <c r="O40" s="91">
        <f>декабрь!G44</f>
        <v>8333.38</v>
      </c>
      <c r="P40" s="98">
        <f t="shared" si="9"/>
        <v>66678.04</v>
      </c>
      <c r="Q40" s="99">
        <f>Q11</f>
        <v>54429.170000000006</v>
      </c>
      <c r="R40" s="121">
        <f t="shared" si="8"/>
        <v>12248.869999999988</v>
      </c>
      <c r="T40" s="88"/>
    </row>
    <row r="41" spans="1:20" ht="15">
      <c r="A41" s="96"/>
      <c r="B41" s="122" t="s">
        <v>94</v>
      </c>
      <c r="C41" s="128"/>
      <c r="D41" s="128">
        <f>январь!E17</f>
        <v>0</v>
      </c>
      <c r="E41" s="128">
        <f>февраль!G16</f>
        <v>0</v>
      </c>
      <c r="F41" s="128">
        <f>март!G16</f>
        <v>0</v>
      </c>
      <c r="G41" s="128">
        <f>апрель!G16</f>
        <v>0</v>
      </c>
      <c r="H41" s="98">
        <f>май!G16</f>
        <v>611</v>
      </c>
      <c r="I41" s="98">
        <f>июнь!G20</f>
        <v>611</v>
      </c>
      <c r="J41" s="99">
        <f>июль!G16</f>
        <v>611</v>
      </c>
      <c r="K41" s="99">
        <f>август!G20</f>
        <v>611</v>
      </c>
      <c r="L41" s="99">
        <f>сентябрь!G19</f>
        <v>611</v>
      </c>
      <c r="M41" s="91">
        <f>октябрь!E19</f>
        <v>611</v>
      </c>
      <c r="N41" s="91">
        <f>'ноябрь '!G19</f>
        <v>611</v>
      </c>
      <c r="O41" s="91">
        <f>декабрь!G19</f>
        <v>611</v>
      </c>
      <c r="P41" s="98">
        <f t="shared" si="9"/>
        <v>4888</v>
      </c>
      <c r="Q41" s="99">
        <f>P41-O41</f>
        <v>4277</v>
      </c>
      <c r="R41" s="121">
        <f t="shared" si="8"/>
        <v>611</v>
      </c>
      <c r="T41" s="88"/>
    </row>
    <row r="42" spans="1:20" ht="15.75">
      <c r="A42" s="96"/>
      <c r="B42" s="55" t="s">
        <v>68</v>
      </c>
      <c r="C42" s="128"/>
      <c r="D42" s="128">
        <f>январь!E18</f>
        <v>0</v>
      </c>
      <c r="E42" s="128">
        <f>февраль!G17</f>
        <v>0</v>
      </c>
      <c r="F42" s="128">
        <f>март!G17</f>
        <v>0</v>
      </c>
      <c r="G42" s="128">
        <f>апрель!G17</f>
        <v>0</v>
      </c>
      <c r="H42" s="98">
        <f>май!G17</f>
        <v>1133.92</v>
      </c>
      <c r="I42" s="98">
        <f>июнь!G21</f>
        <v>0</v>
      </c>
      <c r="J42" s="99">
        <f>июль!G17</f>
        <v>0</v>
      </c>
      <c r="K42" s="99">
        <f>август!G21</f>
        <v>936.06</v>
      </c>
      <c r="L42" s="99">
        <f>сентябрь!G20</f>
        <v>2112.22</v>
      </c>
      <c r="M42" s="91">
        <f>октябрь!E20</f>
        <v>677.09</v>
      </c>
      <c r="N42" s="91">
        <f>'ноябрь '!G20</f>
        <v>0</v>
      </c>
      <c r="O42" s="91">
        <f>декабрь!G20</f>
        <v>5422.62</v>
      </c>
      <c r="P42" s="98">
        <f t="shared" si="9"/>
        <v>10281.91</v>
      </c>
      <c r="Q42" s="99">
        <f>Q5</f>
        <v>1929.91</v>
      </c>
      <c r="R42" s="121">
        <f t="shared" si="8"/>
        <v>8352</v>
      </c>
      <c r="T42" s="88"/>
    </row>
    <row r="43" spans="1:20" ht="15.75">
      <c r="A43" s="96"/>
      <c r="B43" s="55" t="s">
        <v>69</v>
      </c>
      <c r="C43" s="128"/>
      <c r="D43" s="128">
        <f>январь!E19</f>
        <v>0</v>
      </c>
      <c r="E43" s="128">
        <f>февраль!G18</f>
        <v>0</v>
      </c>
      <c r="F43" s="128">
        <f>март!G18</f>
        <v>0</v>
      </c>
      <c r="G43" s="128">
        <f>апрель!G18</f>
        <v>0</v>
      </c>
      <c r="H43" s="98">
        <f>май!G18</f>
        <v>0</v>
      </c>
      <c r="I43" s="98">
        <f>июнь!G22</f>
        <v>0</v>
      </c>
      <c r="J43" s="99">
        <f>июль!G18</f>
        <v>0</v>
      </c>
      <c r="K43" s="99">
        <f>август!G22</f>
        <v>0</v>
      </c>
      <c r="L43" s="99">
        <f>сентябрь!G21</f>
        <v>0</v>
      </c>
      <c r="M43" s="91">
        <f>октябрь!E21</f>
        <v>0</v>
      </c>
      <c r="N43" s="91">
        <f>'ноябрь '!G21</f>
        <v>0</v>
      </c>
      <c r="O43" s="91">
        <f>декабрь!G21</f>
        <v>0</v>
      </c>
      <c r="P43" s="98">
        <f t="shared" si="9"/>
        <v>0</v>
      </c>
      <c r="Q43" s="99">
        <v>0</v>
      </c>
      <c r="R43" s="121">
        <f t="shared" si="8"/>
        <v>0</v>
      </c>
      <c r="T43" s="88"/>
    </row>
    <row r="44" spans="1:20" ht="15.75">
      <c r="A44" s="96"/>
      <c r="B44" s="55" t="s">
        <v>72</v>
      </c>
      <c r="C44" s="128"/>
      <c r="D44" s="128">
        <f>январь!E20</f>
        <v>0</v>
      </c>
      <c r="E44" s="128">
        <f>февраль!G19</f>
        <v>0</v>
      </c>
      <c r="F44" s="128">
        <f>март!G19</f>
        <v>0</v>
      </c>
      <c r="G44" s="128">
        <f>апрель!G19</f>
        <v>0</v>
      </c>
      <c r="H44" s="98">
        <f>май!G19</f>
        <v>2074.62</v>
      </c>
      <c r="I44" s="98">
        <f>июнь!G23</f>
        <v>0</v>
      </c>
      <c r="J44" s="99">
        <f>июль!G19</f>
        <v>-1169.88</v>
      </c>
      <c r="K44" s="99">
        <f>август!G23</f>
        <v>0</v>
      </c>
      <c r="L44" s="99">
        <f>сентябрь!G22</f>
        <v>0</v>
      </c>
      <c r="M44" s="91">
        <f>октябрь!E22</f>
        <v>0</v>
      </c>
      <c r="N44" s="91">
        <f>'ноябрь '!G22</f>
        <v>0</v>
      </c>
      <c r="O44" s="91">
        <f>декабрь!G22</f>
        <v>0</v>
      </c>
      <c r="P44" s="98">
        <f t="shared" si="9"/>
        <v>904.7399999999998</v>
      </c>
      <c r="Q44" s="99">
        <f>P44</f>
        <v>904.7399999999998</v>
      </c>
      <c r="R44" s="121">
        <f t="shared" si="8"/>
        <v>0</v>
      </c>
      <c r="T44" s="88"/>
    </row>
    <row r="45" spans="1:20" ht="15.75">
      <c r="A45" s="96"/>
      <c r="B45" s="55" t="s">
        <v>70</v>
      </c>
      <c r="C45" s="128"/>
      <c r="D45" s="128">
        <f>январь!E21</f>
        <v>0</v>
      </c>
      <c r="E45" s="128">
        <f>февраль!G20</f>
        <v>0</v>
      </c>
      <c r="F45" s="128">
        <f>март!G20</f>
        <v>0</v>
      </c>
      <c r="G45" s="128">
        <f>апрель!G20</f>
        <v>0</v>
      </c>
      <c r="H45" s="98">
        <f>май!G20</f>
        <v>0</v>
      </c>
      <c r="I45" s="98">
        <f>июнь!G24</f>
        <v>0</v>
      </c>
      <c r="J45" s="99">
        <f>июль!G20</f>
        <v>0</v>
      </c>
      <c r="K45" s="99">
        <f>август!G24</f>
        <v>0</v>
      </c>
      <c r="L45" s="99">
        <f>сентябрь!G23</f>
        <v>0</v>
      </c>
      <c r="M45" s="91">
        <f>октябрь!E23</f>
        <v>0</v>
      </c>
      <c r="N45" s="91">
        <f>'ноябрь '!G23</f>
        <v>0</v>
      </c>
      <c r="O45" s="91">
        <f>декабрь!G23</f>
        <v>0</v>
      </c>
      <c r="P45" s="98">
        <f t="shared" si="9"/>
        <v>0</v>
      </c>
      <c r="Q45" s="99">
        <v>0</v>
      </c>
      <c r="R45" s="121">
        <f t="shared" si="8"/>
        <v>0</v>
      </c>
      <c r="T45" s="88"/>
    </row>
    <row r="46" spans="1:20" ht="15">
      <c r="A46" s="96"/>
      <c r="B46" s="122" t="s">
        <v>95</v>
      </c>
      <c r="C46" s="128"/>
      <c r="D46" s="128">
        <f>январь!E22</f>
        <v>0</v>
      </c>
      <c r="E46" s="128">
        <f>февраль!G21</f>
        <v>0</v>
      </c>
      <c r="F46" s="128">
        <f>март!G21</f>
        <v>0</v>
      </c>
      <c r="G46" s="128">
        <f>апрель!G21</f>
        <v>0</v>
      </c>
      <c r="H46" s="98">
        <f>май!G21</f>
        <v>0</v>
      </c>
      <c r="I46" s="98">
        <f>июнь!G25</f>
        <v>953.05</v>
      </c>
      <c r="J46" s="99">
        <f>июль!G21</f>
        <v>0</v>
      </c>
      <c r="K46" s="99">
        <f>август!G25</f>
        <v>643.39</v>
      </c>
      <c r="L46" s="99">
        <f>сентябрь!G24</f>
        <v>0</v>
      </c>
      <c r="M46" s="91">
        <f>октябрь!E24</f>
        <v>202.07</v>
      </c>
      <c r="N46" s="91">
        <f>'ноябрь '!G24</f>
        <v>0</v>
      </c>
      <c r="O46" s="91">
        <f>декабрь!G24</f>
        <v>1398.96</v>
      </c>
      <c r="P46" s="98">
        <f t="shared" si="9"/>
        <v>3197.4700000000003</v>
      </c>
      <c r="Q46" s="99">
        <f>P46-O46</f>
        <v>1798.5100000000002</v>
      </c>
      <c r="R46" s="121">
        <f t="shared" si="8"/>
        <v>1398.96</v>
      </c>
      <c r="T46" s="88"/>
    </row>
    <row r="47" spans="1:20" ht="15">
      <c r="A47" s="96"/>
      <c r="B47" s="174" t="s">
        <v>33</v>
      </c>
      <c r="C47" s="128"/>
      <c r="D47" s="98">
        <f aca="true" t="shared" si="10" ref="D47:Q47">D48+D49</f>
        <v>0</v>
      </c>
      <c r="E47" s="98">
        <f t="shared" si="10"/>
        <v>0</v>
      </c>
      <c r="F47" s="98">
        <f t="shared" si="10"/>
        <v>0</v>
      </c>
      <c r="G47" s="98">
        <f t="shared" si="10"/>
        <v>0</v>
      </c>
      <c r="H47" s="98">
        <f t="shared" si="10"/>
        <v>0</v>
      </c>
      <c r="I47" s="98">
        <f t="shared" si="10"/>
        <v>5000</v>
      </c>
      <c r="J47" s="128">
        <f t="shared" si="10"/>
        <v>2000</v>
      </c>
      <c r="K47" s="128">
        <f t="shared" si="10"/>
        <v>1580.8</v>
      </c>
      <c r="L47" s="128">
        <f t="shared" si="10"/>
        <v>0</v>
      </c>
      <c r="M47" s="128">
        <f t="shared" si="10"/>
        <v>0</v>
      </c>
      <c r="N47" s="128">
        <f t="shared" si="10"/>
        <v>0</v>
      </c>
      <c r="O47" s="128">
        <f t="shared" si="10"/>
        <v>0</v>
      </c>
      <c r="P47" s="128">
        <f t="shared" si="10"/>
        <v>8580.8</v>
      </c>
      <c r="Q47" s="128">
        <f t="shared" si="10"/>
        <v>8580.8</v>
      </c>
      <c r="R47" s="121">
        <f t="shared" si="8"/>
        <v>0</v>
      </c>
      <c r="T47" s="88"/>
    </row>
    <row r="48" spans="1:20" s="189" customFormat="1" ht="15">
      <c r="A48" s="183"/>
      <c r="B48" s="184" t="s">
        <v>183</v>
      </c>
      <c r="C48" s="129"/>
      <c r="D48" s="129"/>
      <c r="E48" s="129"/>
      <c r="F48" s="129"/>
      <c r="G48" s="129"/>
      <c r="H48" s="129"/>
      <c r="I48" s="92">
        <f>июнь!E17</f>
        <v>2500</v>
      </c>
      <c r="J48" s="102">
        <f>июль!G28</f>
        <v>2000</v>
      </c>
      <c r="K48" s="102">
        <f>август!G17</f>
        <v>1580.8</v>
      </c>
      <c r="L48" s="102">
        <f>сентябрь!G17</f>
        <v>0</v>
      </c>
      <c r="M48" s="185">
        <f>октябрь!E17</f>
        <v>0</v>
      </c>
      <c r="N48" s="185"/>
      <c r="O48" s="186"/>
      <c r="P48" s="92">
        <f>SUM(D48:O48)</f>
        <v>6080.8</v>
      </c>
      <c r="Q48" s="102">
        <f>P48</f>
        <v>6080.8</v>
      </c>
      <c r="R48" s="130">
        <f t="shared" si="8"/>
        <v>0</v>
      </c>
      <c r="S48" s="187"/>
      <c r="T48" s="188"/>
    </row>
    <row r="49" spans="1:20" s="189" customFormat="1" ht="15">
      <c r="A49" s="183"/>
      <c r="B49" s="184" t="s">
        <v>184</v>
      </c>
      <c r="C49" s="129"/>
      <c r="D49" s="129">
        <f>январь!E14</f>
        <v>0</v>
      </c>
      <c r="E49" s="129">
        <f>февраль!G14</f>
        <v>0</v>
      </c>
      <c r="F49" s="129">
        <f>март!G14</f>
        <v>0</v>
      </c>
      <c r="G49" s="129">
        <f>апрель!G14</f>
        <v>0</v>
      </c>
      <c r="H49" s="92">
        <f>май!G14</f>
        <v>0</v>
      </c>
      <c r="I49" s="92">
        <f>июнь!E18</f>
        <v>2500</v>
      </c>
      <c r="J49" s="102">
        <f>июль!G14</f>
        <v>0</v>
      </c>
      <c r="K49" s="102">
        <f>август!G16</f>
        <v>0</v>
      </c>
      <c r="L49" s="102">
        <f>сентябрь!G16</f>
        <v>0</v>
      </c>
      <c r="M49" s="185">
        <f>октябрь!E16</f>
        <v>0</v>
      </c>
      <c r="N49" s="185">
        <v>0</v>
      </c>
      <c r="O49" s="185">
        <v>0</v>
      </c>
      <c r="P49" s="92">
        <f>SUM(D49:O49)</f>
        <v>2500</v>
      </c>
      <c r="Q49" s="102">
        <f>P49</f>
        <v>2500</v>
      </c>
      <c r="R49" s="130">
        <f t="shared" si="8"/>
        <v>0</v>
      </c>
      <c r="S49" s="187"/>
      <c r="T49" s="188"/>
    </row>
    <row r="50" spans="1:19" s="88" customFormat="1" ht="14.25">
      <c r="A50" s="84">
        <v>2</v>
      </c>
      <c r="B50" s="119" t="s">
        <v>102</v>
      </c>
      <c r="C50" s="86">
        <f>C51+C52</f>
        <v>0</v>
      </c>
      <c r="D50" s="86">
        <f>D51+D52</f>
        <v>0</v>
      </c>
      <c r="E50" s="86">
        <f aca="true" t="shared" si="11" ref="E50:R50">E51+E52</f>
        <v>0</v>
      </c>
      <c r="F50" s="86">
        <f t="shared" si="11"/>
        <v>0</v>
      </c>
      <c r="G50" s="86">
        <f t="shared" si="11"/>
        <v>3.2</v>
      </c>
      <c r="H50" s="86">
        <f t="shared" si="11"/>
        <v>4327.37</v>
      </c>
      <c r="I50" s="86">
        <f t="shared" si="11"/>
        <v>5182.37</v>
      </c>
      <c r="J50" s="86">
        <f t="shared" si="11"/>
        <v>4506.17</v>
      </c>
      <c r="K50" s="86">
        <f t="shared" si="11"/>
        <v>3699.37</v>
      </c>
      <c r="L50" s="86">
        <f t="shared" si="11"/>
        <v>4347.37</v>
      </c>
      <c r="M50" s="86">
        <f t="shared" si="11"/>
        <v>4119.37</v>
      </c>
      <c r="N50" s="86">
        <f t="shared" si="11"/>
        <v>3744.37</v>
      </c>
      <c r="O50" s="86">
        <f t="shared" si="11"/>
        <v>6371.27</v>
      </c>
      <c r="P50" s="86">
        <f t="shared" si="11"/>
        <v>36297.659999999996</v>
      </c>
      <c r="Q50" s="86">
        <f t="shared" si="11"/>
        <v>32598.289999999997</v>
      </c>
      <c r="R50" s="86">
        <f t="shared" si="11"/>
        <v>3699.369999999999</v>
      </c>
      <c r="S50" s="87"/>
    </row>
    <row r="51" spans="1:20" ht="30">
      <c r="A51" s="96"/>
      <c r="B51" s="118" t="s">
        <v>96</v>
      </c>
      <c r="C51" s="98"/>
      <c r="D51" s="98">
        <f>январь!E24</f>
        <v>0</v>
      </c>
      <c r="E51" s="98">
        <f>февраль!E23</f>
        <v>0</v>
      </c>
      <c r="F51" s="98">
        <f>март!E23</f>
        <v>0</v>
      </c>
      <c r="G51" s="98">
        <f>апрель!E23</f>
        <v>0</v>
      </c>
      <c r="H51" s="98">
        <f>май!E23</f>
        <v>3699.37</v>
      </c>
      <c r="I51" s="98">
        <f>июнь!E27</f>
        <v>3699.37</v>
      </c>
      <c r="J51" s="98">
        <f>июль!E23</f>
        <v>3699.37</v>
      </c>
      <c r="K51" s="120">
        <f>август!E27</f>
        <v>3699.37</v>
      </c>
      <c r="L51" s="120">
        <f>сентябрь!E26</f>
        <v>3699.37</v>
      </c>
      <c r="M51" s="99">
        <f>октябрь!E26</f>
        <v>3699.37</v>
      </c>
      <c r="N51" s="99">
        <f>'ноябрь '!E26</f>
        <v>3699.37</v>
      </c>
      <c r="O51" s="120">
        <f>декабрь!E26</f>
        <v>3699.37</v>
      </c>
      <c r="P51" s="98">
        <f>H51+I51+J51+K51+L51+M51+N51+O51</f>
        <v>29594.959999999995</v>
      </c>
      <c r="Q51" s="99">
        <f>P51-O51</f>
        <v>25895.589999999997</v>
      </c>
      <c r="R51" s="121">
        <f t="shared" si="8"/>
        <v>3699.369999999999</v>
      </c>
      <c r="T51" s="88"/>
    </row>
    <row r="52" spans="1:18" ht="15">
      <c r="A52" s="96"/>
      <c r="B52" s="122" t="s">
        <v>93</v>
      </c>
      <c r="C52" s="124"/>
      <c r="D52" s="98">
        <f>январь!F24</f>
        <v>0</v>
      </c>
      <c r="E52" s="128">
        <f>февраль!F23</f>
        <v>0</v>
      </c>
      <c r="F52" s="128">
        <f>март!F23</f>
        <v>0</v>
      </c>
      <c r="G52" s="136">
        <f>апрель!F23</f>
        <v>3.2</v>
      </c>
      <c r="H52" s="98">
        <f>май!F23</f>
        <v>628</v>
      </c>
      <c r="I52" s="98">
        <f>июнь!F27</f>
        <v>1483</v>
      </c>
      <c r="J52" s="99">
        <f>июль!F23</f>
        <v>806.8</v>
      </c>
      <c r="K52" s="99">
        <f>август!F27</f>
        <v>0</v>
      </c>
      <c r="L52" s="99">
        <f>сентябрь!F26</f>
        <v>648</v>
      </c>
      <c r="M52" s="99">
        <f>октябрь!F26</f>
        <v>420</v>
      </c>
      <c r="N52" s="99">
        <f>'ноябрь '!F26</f>
        <v>45</v>
      </c>
      <c r="O52" s="99">
        <f>декабрь!F26</f>
        <v>2671.9</v>
      </c>
      <c r="P52" s="98">
        <f>H52+I52+J52+K52+L52+M52+N52+O52</f>
        <v>6702.700000000001</v>
      </c>
      <c r="Q52" s="99">
        <f>P52</f>
        <v>6702.700000000001</v>
      </c>
      <c r="R52" s="121">
        <f t="shared" si="8"/>
        <v>0</v>
      </c>
    </row>
    <row r="53" spans="1:26" s="88" customFormat="1" ht="14.25">
      <c r="A53" s="84">
        <v>3</v>
      </c>
      <c r="B53" s="127" t="s">
        <v>101</v>
      </c>
      <c r="C53" s="131">
        <f>C54+C55</f>
        <v>0</v>
      </c>
      <c r="D53" s="131">
        <f>D54+D55</f>
        <v>0</v>
      </c>
      <c r="E53" s="131">
        <f aca="true" t="shared" si="12" ref="E53:Q53">E54+E55</f>
        <v>0</v>
      </c>
      <c r="F53" s="131">
        <f t="shared" si="12"/>
        <v>0</v>
      </c>
      <c r="G53" s="131">
        <f t="shared" si="12"/>
        <v>0</v>
      </c>
      <c r="H53" s="131">
        <f t="shared" si="12"/>
        <v>1704.78</v>
      </c>
      <c r="I53" s="131">
        <f t="shared" si="12"/>
        <v>2324.7799999999997</v>
      </c>
      <c r="J53" s="131">
        <f t="shared" si="12"/>
        <v>1704.78</v>
      </c>
      <c r="K53" s="131">
        <f t="shared" si="12"/>
        <v>1704.78</v>
      </c>
      <c r="L53" s="131">
        <f t="shared" si="12"/>
        <v>2054.7799999999997</v>
      </c>
      <c r="M53" s="131">
        <f t="shared" si="12"/>
        <v>2004.78</v>
      </c>
      <c r="N53" s="131">
        <f t="shared" si="12"/>
        <v>6064.78</v>
      </c>
      <c r="O53" s="131">
        <f t="shared" si="12"/>
        <v>1704.78</v>
      </c>
      <c r="P53" s="131">
        <f t="shared" si="12"/>
        <v>19268.24</v>
      </c>
      <c r="Q53" s="131">
        <f t="shared" si="12"/>
        <v>17563.46</v>
      </c>
      <c r="R53" s="125">
        <f t="shared" si="8"/>
        <v>1704.7800000000025</v>
      </c>
      <c r="S53" s="87"/>
      <c r="X53" s="87"/>
      <c r="Z53" s="87"/>
    </row>
    <row r="54" spans="1:18" ht="15" customHeight="1">
      <c r="A54" s="96"/>
      <c r="B54" s="118" t="s">
        <v>96</v>
      </c>
      <c r="C54" s="98"/>
      <c r="D54" s="98">
        <f>январь!E23</f>
        <v>0</v>
      </c>
      <c r="E54" s="98">
        <f>февраль!E22</f>
        <v>0</v>
      </c>
      <c r="F54" s="98">
        <f>март!E22</f>
        <v>0</v>
      </c>
      <c r="G54" s="98">
        <f>апрель!E22</f>
        <v>0</v>
      </c>
      <c r="H54" s="98">
        <f>май!E22</f>
        <v>1704.78</v>
      </c>
      <c r="I54" s="98">
        <f>июнь!E26</f>
        <v>1704.78</v>
      </c>
      <c r="J54" s="98">
        <f>июль!E22</f>
        <v>1704.78</v>
      </c>
      <c r="K54" s="98">
        <f>август!E26</f>
        <v>1704.78</v>
      </c>
      <c r="L54" s="98">
        <f>сентябрь!E25</f>
        <v>1704.78</v>
      </c>
      <c r="M54" s="99">
        <f>октябрь!E25</f>
        <v>1704.78</v>
      </c>
      <c r="N54" s="98">
        <f>'ноябрь '!E25</f>
        <v>1704.78</v>
      </c>
      <c r="O54" s="98">
        <f>декабрь!E25</f>
        <v>1704.78</v>
      </c>
      <c r="P54" s="98">
        <f>H54+I54+J54+K54+L54+M54+N54+O54</f>
        <v>13638.240000000002</v>
      </c>
      <c r="Q54" s="99">
        <f>P54-O54</f>
        <v>11933.460000000001</v>
      </c>
      <c r="R54" s="121">
        <f t="shared" si="8"/>
        <v>1704.7800000000007</v>
      </c>
    </row>
    <row r="55" spans="1:26" ht="15">
      <c r="A55" s="96"/>
      <c r="B55" s="122" t="s">
        <v>93</v>
      </c>
      <c r="C55" s="98"/>
      <c r="D55" s="98">
        <f>январь!F23</f>
        <v>0</v>
      </c>
      <c r="E55" s="98">
        <f>февраль!F22</f>
        <v>0</v>
      </c>
      <c r="F55" s="98">
        <f>март!F22</f>
        <v>0</v>
      </c>
      <c r="G55" s="98">
        <f>апрель!F22</f>
        <v>0</v>
      </c>
      <c r="H55" s="98">
        <f>май!F22</f>
        <v>0</v>
      </c>
      <c r="I55" s="98">
        <f>июнь!F26</f>
        <v>620</v>
      </c>
      <c r="J55" s="99">
        <f>июль!F22</f>
        <v>0</v>
      </c>
      <c r="K55" s="99">
        <f>август!F26</f>
        <v>0</v>
      </c>
      <c r="L55" s="99">
        <f>сентябрь!F25</f>
        <v>350</v>
      </c>
      <c r="M55" s="99">
        <f>октябрь!F25</f>
        <v>300</v>
      </c>
      <c r="N55" s="99">
        <f>'ноябрь '!F25</f>
        <v>4360</v>
      </c>
      <c r="O55" s="99">
        <f>декабрь!F25</f>
        <v>0</v>
      </c>
      <c r="P55" s="98">
        <f aca="true" t="shared" si="13" ref="P55:P60">H55+I55+J55+K55+L55+M55+N55+O55</f>
        <v>5630</v>
      </c>
      <c r="Q55" s="99">
        <f>P55</f>
        <v>5630</v>
      </c>
      <c r="R55" s="121">
        <f t="shared" si="8"/>
        <v>0</v>
      </c>
      <c r="Z55" s="100"/>
    </row>
    <row r="56" spans="1:19" s="103" customFormat="1" ht="15">
      <c r="A56" s="104"/>
      <c r="B56" s="122" t="s">
        <v>121</v>
      </c>
      <c r="C56" s="98"/>
      <c r="D56" s="98">
        <f>январь!G25</f>
        <v>0</v>
      </c>
      <c r="E56" s="136">
        <f>февраль!G24</f>
        <v>0</v>
      </c>
      <c r="F56" s="98">
        <f>март!G24</f>
        <v>0</v>
      </c>
      <c r="G56" s="98">
        <f>апрель!G24</f>
        <v>0</v>
      </c>
      <c r="H56" s="98">
        <f>май!G24</f>
        <v>6364.51</v>
      </c>
      <c r="I56" s="98">
        <f>июнь!G28</f>
        <v>6372.072</v>
      </c>
      <c r="J56" s="99">
        <f>июль!G24</f>
        <v>6372.072</v>
      </c>
      <c r="K56" s="99">
        <f>август!G28</f>
        <v>6372.072</v>
      </c>
      <c r="L56" s="99">
        <f>сентябрь!G27</f>
        <v>6372.072</v>
      </c>
      <c r="M56" s="99">
        <f>октябрь!G27</f>
        <v>6372.072</v>
      </c>
      <c r="N56" s="102">
        <f>'ноябрь '!G27</f>
        <v>6372.072</v>
      </c>
      <c r="O56" s="102">
        <f>декабрь!G27</f>
        <v>6372.072</v>
      </c>
      <c r="P56" s="98">
        <f t="shared" si="13"/>
        <v>50969.014</v>
      </c>
      <c r="Q56" s="99">
        <f>P56-O56</f>
        <v>44596.942</v>
      </c>
      <c r="R56" s="121">
        <f t="shared" si="8"/>
        <v>6372.072</v>
      </c>
      <c r="S56" s="100"/>
    </row>
    <row r="57" spans="1:19" s="162" customFormat="1" ht="26.25" customHeight="1">
      <c r="A57" s="96">
        <v>4</v>
      </c>
      <c r="B57" s="118" t="s">
        <v>138</v>
      </c>
      <c r="C57" s="124"/>
      <c r="D57" s="98">
        <f>январь!G26</f>
        <v>0</v>
      </c>
      <c r="E57" s="136">
        <f>февраль!G25</f>
        <v>0</v>
      </c>
      <c r="F57" s="98">
        <f>март!G25</f>
        <v>0</v>
      </c>
      <c r="G57" s="98">
        <f>апрель!G25</f>
        <v>0</v>
      </c>
      <c r="H57" s="98">
        <f>май!G25</f>
        <v>8614.82</v>
      </c>
      <c r="I57" s="98">
        <f>июнь!G29</f>
        <v>8625.0546</v>
      </c>
      <c r="J57" s="99">
        <f>июль!G25</f>
        <v>8625.0546</v>
      </c>
      <c r="K57" s="99">
        <f>август!G29</f>
        <v>8625.0546</v>
      </c>
      <c r="L57" s="99">
        <f>сентябрь!G28</f>
        <v>8625.0546</v>
      </c>
      <c r="M57" s="99">
        <f>октябрь!G28</f>
        <v>8625.0546</v>
      </c>
      <c r="N57" s="102">
        <f>'ноябрь '!G28</f>
        <v>8625.0546</v>
      </c>
      <c r="O57" s="102">
        <f>декабрь!G28</f>
        <v>8625.0546</v>
      </c>
      <c r="P57" s="98">
        <f t="shared" si="13"/>
        <v>68990.20220000001</v>
      </c>
      <c r="Q57" s="99">
        <f>P57-O57</f>
        <v>60365.14760000001</v>
      </c>
      <c r="R57" s="121">
        <f t="shared" si="8"/>
        <v>8625.054600000003</v>
      </c>
      <c r="S57" s="161"/>
    </row>
    <row r="58" spans="1:19" s="162" customFormat="1" ht="15">
      <c r="A58" s="163">
        <v>5</v>
      </c>
      <c r="B58" s="122" t="s">
        <v>103</v>
      </c>
      <c r="C58" s="124"/>
      <c r="D58" s="98">
        <f>январь!G27</f>
        <v>0</v>
      </c>
      <c r="E58" s="136">
        <f>февраль!G26</f>
        <v>0</v>
      </c>
      <c r="F58" s="98">
        <f>март!G26</f>
        <v>0</v>
      </c>
      <c r="G58" s="98">
        <f>апрель!G26</f>
        <v>0</v>
      </c>
      <c r="H58" s="98">
        <f>май!G26</f>
        <v>1515.36</v>
      </c>
      <c r="I58" s="98">
        <f>июнь!G30</f>
        <v>1517.16</v>
      </c>
      <c r="J58" s="99">
        <f>июль!G26</f>
        <v>1517.16</v>
      </c>
      <c r="K58" s="99">
        <f>август!G30</f>
        <v>1517.16</v>
      </c>
      <c r="L58" s="99">
        <f>сентябрь!G29</f>
        <v>1517.16</v>
      </c>
      <c r="M58" s="99">
        <f>октябрь!G29</f>
        <v>1517.16</v>
      </c>
      <c r="N58" s="102">
        <f>'ноябрь '!G29</f>
        <v>1517.16</v>
      </c>
      <c r="O58" s="102">
        <f>декабрь!G29</f>
        <v>1517.16</v>
      </c>
      <c r="P58" s="98">
        <f t="shared" si="13"/>
        <v>12135.48</v>
      </c>
      <c r="Q58" s="99">
        <f>P58-O58</f>
        <v>10618.32</v>
      </c>
      <c r="R58" s="121">
        <f t="shared" si="8"/>
        <v>1517.1599999999999</v>
      </c>
      <c r="S58" s="161"/>
    </row>
    <row r="59" spans="1:19" s="162" customFormat="1" ht="15">
      <c r="A59" s="163">
        <v>6</v>
      </c>
      <c r="B59" s="122" t="s">
        <v>104</v>
      </c>
      <c r="C59" s="124"/>
      <c r="D59" s="98">
        <f>январь!G28</f>
        <v>0</v>
      </c>
      <c r="E59" s="136">
        <f>февраль!G27</f>
        <v>0</v>
      </c>
      <c r="F59" s="98">
        <f>март!G27</f>
        <v>0</v>
      </c>
      <c r="G59" s="98">
        <f>апрель!G27</f>
        <v>0</v>
      </c>
      <c r="H59" s="98">
        <f>май!G27</f>
        <v>378.84</v>
      </c>
      <c r="I59" s="98">
        <f>июнь!G31</f>
        <v>379.29</v>
      </c>
      <c r="J59" s="99">
        <f>июль!G27</f>
        <v>379.29</v>
      </c>
      <c r="K59" s="99">
        <f>август!G31</f>
        <v>379.29</v>
      </c>
      <c r="L59" s="99">
        <f>сентябрь!G30</f>
        <v>379.29</v>
      </c>
      <c r="M59" s="99">
        <f>октябрь!G30</f>
        <v>379.29</v>
      </c>
      <c r="N59" s="102">
        <f>'ноябрь '!G30</f>
        <v>379.29</v>
      </c>
      <c r="O59" s="102">
        <f>декабрь!G30</f>
        <v>379.29</v>
      </c>
      <c r="P59" s="98">
        <f t="shared" si="13"/>
        <v>3033.87</v>
      </c>
      <c r="Q59" s="99">
        <f>P59-O59</f>
        <v>2654.58</v>
      </c>
      <c r="R59" s="121">
        <f t="shared" si="8"/>
        <v>379.28999999999996</v>
      </c>
      <c r="S59" s="161"/>
    </row>
    <row r="60" spans="1:19" s="134" customFormat="1" ht="15" hidden="1">
      <c r="A60" s="105"/>
      <c r="B60" s="132" t="s">
        <v>42</v>
      </c>
      <c r="C60" s="92"/>
      <c r="D60" s="98">
        <f>январь!G29</f>
        <v>0</v>
      </c>
      <c r="E60" s="136">
        <f>февраль!G28</f>
        <v>0</v>
      </c>
      <c r="F60" s="129">
        <f>март!E59</f>
        <v>0</v>
      </c>
      <c r="G60" s="129">
        <f>апрель!E59</f>
        <v>3.2</v>
      </c>
      <c r="H60" s="92">
        <f>май!E59</f>
        <v>154440.40000000002</v>
      </c>
      <c r="I60" s="92"/>
      <c r="J60" s="102"/>
      <c r="K60" s="102"/>
      <c r="L60" s="102"/>
      <c r="M60" s="102" t="e">
        <f>#REF!</f>
        <v>#REF!</v>
      </c>
      <c r="N60" s="102">
        <f>'ноябрь '!G31</f>
        <v>40052.6266</v>
      </c>
      <c r="O60" s="102"/>
      <c r="P60" s="98" t="e">
        <f t="shared" si="13"/>
        <v>#REF!</v>
      </c>
      <c r="Q60" s="92"/>
      <c r="R60" s="130" t="e">
        <f t="shared" si="8"/>
        <v>#REF!</v>
      </c>
      <c r="S60" s="133"/>
    </row>
    <row r="61" spans="1:19" s="140" customFormat="1" ht="64.5" customHeight="1">
      <c r="A61" s="137"/>
      <c r="B61" s="157" t="s">
        <v>125</v>
      </c>
      <c r="C61" s="156"/>
      <c r="D61" s="170">
        <f>D62+D65</f>
        <v>0</v>
      </c>
      <c r="E61" s="170">
        <f>E62+E65</f>
        <v>0</v>
      </c>
      <c r="F61" s="170">
        <f>F62+F65</f>
        <v>0</v>
      </c>
      <c r="G61" s="170">
        <f>G62+G65</f>
        <v>0</v>
      </c>
      <c r="H61" s="170">
        <f>H62+H65</f>
        <v>0</v>
      </c>
      <c r="I61" s="86">
        <f aca="true" t="shared" si="14" ref="I61:P61">I62+I65</f>
        <v>0</v>
      </c>
      <c r="J61" s="86">
        <f t="shared" si="14"/>
        <v>0</v>
      </c>
      <c r="K61" s="86">
        <f t="shared" si="14"/>
        <v>17518</v>
      </c>
      <c r="L61" s="86">
        <f t="shared" si="14"/>
        <v>0</v>
      </c>
      <c r="M61" s="86">
        <f t="shared" si="14"/>
        <v>49400</v>
      </c>
      <c r="N61" s="86">
        <f t="shared" si="14"/>
        <v>0</v>
      </c>
      <c r="O61" s="86">
        <f t="shared" si="14"/>
        <v>0</v>
      </c>
      <c r="P61" s="86">
        <f t="shared" si="14"/>
        <v>66918</v>
      </c>
      <c r="Q61" s="86">
        <f>Q62+Q65</f>
        <v>66918</v>
      </c>
      <c r="R61" s="125">
        <f t="shared" si="8"/>
        <v>0</v>
      </c>
      <c r="S61" s="139"/>
    </row>
    <row r="62" spans="1:19" s="140" customFormat="1" ht="19.5" customHeight="1">
      <c r="A62" s="137"/>
      <c r="B62" s="118" t="s">
        <v>126</v>
      </c>
      <c r="C62" s="138"/>
      <c r="D62" s="131">
        <f>январь!E32</f>
        <v>0</v>
      </c>
      <c r="E62" s="131">
        <f>февраль!E32</f>
        <v>0</v>
      </c>
      <c r="F62" s="131">
        <f>март!E32</f>
        <v>0</v>
      </c>
      <c r="G62" s="131">
        <f>апрель!E32</f>
        <v>0</v>
      </c>
      <c r="H62" s="131">
        <f>май!E32</f>
        <v>0</v>
      </c>
      <c r="I62" s="86">
        <f>июнь!E36</f>
        <v>0</v>
      </c>
      <c r="J62" s="86">
        <f>июль!E33</f>
        <v>0</v>
      </c>
      <c r="K62" s="86">
        <f>август!E36</f>
        <v>0</v>
      </c>
      <c r="L62" s="86">
        <f>сентябрь!E35</f>
        <v>0</v>
      </c>
      <c r="M62" s="86">
        <f aca="true" t="shared" si="15" ref="M62:R62">M63+M64</f>
        <v>49400</v>
      </c>
      <c r="N62" s="86">
        <f t="shared" si="15"/>
        <v>0</v>
      </c>
      <c r="O62" s="86">
        <f t="shared" si="15"/>
        <v>0</v>
      </c>
      <c r="P62" s="86">
        <f t="shared" si="15"/>
        <v>49400</v>
      </c>
      <c r="Q62" s="86">
        <f t="shared" si="15"/>
        <v>49400</v>
      </c>
      <c r="R62" s="86">
        <f t="shared" si="15"/>
        <v>0</v>
      </c>
      <c r="S62" s="139"/>
    </row>
    <row r="63" spans="1:19" s="134" customFormat="1" ht="19.5" customHeight="1">
      <c r="A63" s="105"/>
      <c r="B63" s="168" t="s">
        <v>192</v>
      </c>
      <c r="C63" s="92"/>
      <c r="D63" s="129">
        <f>январь!G33</f>
        <v>0</v>
      </c>
      <c r="E63" s="129">
        <f>февраль!G32</f>
        <v>0</v>
      </c>
      <c r="F63" s="129">
        <f>март!E33</f>
        <v>0</v>
      </c>
      <c r="G63" s="129">
        <f>апрель!E33</f>
        <v>0</v>
      </c>
      <c r="H63" s="129">
        <f>май!E33</f>
        <v>0</v>
      </c>
      <c r="I63" s="92">
        <f>июнь!E37</f>
        <v>0</v>
      </c>
      <c r="J63" s="92">
        <f>июль!E34</f>
        <v>0</v>
      </c>
      <c r="K63" s="92">
        <f>август!E37</f>
        <v>0</v>
      </c>
      <c r="L63" s="92">
        <f>сентябрь!E36</f>
        <v>0</v>
      </c>
      <c r="M63" s="92">
        <f>октябрь!E35</f>
        <v>29400</v>
      </c>
      <c r="N63" s="92">
        <f>'ноябрь '!E34</f>
        <v>0</v>
      </c>
      <c r="O63" s="92">
        <v>0</v>
      </c>
      <c r="P63" s="92">
        <f>SUM(D63:O63)</f>
        <v>29400</v>
      </c>
      <c r="Q63" s="92">
        <f>P63</f>
        <v>29400</v>
      </c>
      <c r="R63" s="130">
        <f t="shared" si="8"/>
        <v>0</v>
      </c>
      <c r="S63" s="133"/>
    </row>
    <row r="64" spans="1:19" s="134" customFormat="1" ht="19.5" customHeight="1">
      <c r="A64" s="105"/>
      <c r="B64" s="168" t="s">
        <v>194</v>
      </c>
      <c r="C64" s="92"/>
      <c r="D64" s="129">
        <f>январь!G34</f>
        <v>0</v>
      </c>
      <c r="E64" s="129">
        <f>февраль!G29</f>
        <v>0</v>
      </c>
      <c r="F64" s="129">
        <f>март!E34</f>
        <v>0</v>
      </c>
      <c r="G64" s="129">
        <f>апрель!E34</f>
        <v>0</v>
      </c>
      <c r="H64" s="129">
        <f>май!E34</f>
        <v>0</v>
      </c>
      <c r="I64" s="92">
        <f>июнь!E38</f>
        <v>0</v>
      </c>
      <c r="J64" s="92">
        <f>июль!E35</f>
        <v>0</v>
      </c>
      <c r="K64" s="92">
        <f>август!E38</f>
        <v>0</v>
      </c>
      <c r="L64" s="92">
        <f>сентябрь!E34</f>
        <v>0</v>
      </c>
      <c r="M64" s="92">
        <f>октябрь!E36</f>
        <v>20000</v>
      </c>
      <c r="N64" s="92">
        <v>0</v>
      </c>
      <c r="O64" s="92">
        <v>0</v>
      </c>
      <c r="P64" s="92">
        <f>SUM(D64:O64)</f>
        <v>20000</v>
      </c>
      <c r="Q64" s="92">
        <f>P64</f>
        <v>20000</v>
      </c>
      <c r="R64" s="130">
        <f t="shared" si="8"/>
        <v>0</v>
      </c>
      <c r="S64" s="133"/>
    </row>
    <row r="65" spans="1:19" s="140" customFormat="1" ht="30">
      <c r="A65" s="137"/>
      <c r="B65" s="118" t="s">
        <v>134</v>
      </c>
      <c r="C65" s="138"/>
      <c r="D65" s="131">
        <f>январь!G35</f>
        <v>0</v>
      </c>
      <c r="E65" s="131">
        <f>февраль!G34</f>
        <v>0</v>
      </c>
      <c r="F65" s="131">
        <f>март!E35</f>
        <v>0</v>
      </c>
      <c r="G65" s="131">
        <f>апрель!E35</f>
        <v>0</v>
      </c>
      <c r="H65" s="131">
        <f>май!E35</f>
        <v>0</v>
      </c>
      <c r="I65" s="86">
        <f>июнь!E39</f>
        <v>0</v>
      </c>
      <c r="J65" s="86">
        <f>июль!E36</f>
        <v>0</v>
      </c>
      <c r="K65" s="86">
        <f>август!G41</f>
        <v>17518</v>
      </c>
      <c r="L65" s="86">
        <f>сентябрь!E41</f>
        <v>0</v>
      </c>
      <c r="M65" s="86">
        <f>октябрь!E41</f>
        <v>0</v>
      </c>
      <c r="N65" s="86">
        <f>октябрь!F41</f>
        <v>0</v>
      </c>
      <c r="O65" s="86">
        <f>октябрь!G41</f>
        <v>0</v>
      </c>
      <c r="P65" s="86">
        <f>SUM(D65:O65)</f>
        <v>17518</v>
      </c>
      <c r="Q65" s="138">
        <f>P65</f>
        <v>17518</v>
      </c>
      <c r="R65" s="125">
        <f t="shared" si="8"/>
        <v>0</v>
      </c>
      <c r="S65" s="139"/>
    </row>
    <row r="66" spans="1:19" s="134" customFormat="1" ht="15">
      <c r="A66" s="105"/>
      <c r="B66" s="165"/>
      <c r="C66" s="92"/>
      <c r="D66" s="129">
        <f>январь!G36</f>
        <v>0</v>
      </c>
      <c r="E66" s="129">
        <f>февраль!G35</f>
        <v>0</v>
      </c>
      <c r="F66" s="129">
        <f>март!E35</f>
        <v>0</v>
      </c>
      <c r="G66" s="129">
        <f>апрель!E36</f>
        <v>0</v>
      </c>
      <c r="H66" s="129">
        <f>май!E36</f>
        <v>0</v>
      </c>
      <c r="I66" s="92">
        <f>июнь!E40</f>
        <v>0</v>
      </c>
      <c r="J66" s="92">
        <f>июль!E37</f>
        <v>0</v>
      </c>
      <c r="K66" s="92">
        <f>август!E40</f>
        <v>0</v>
      </c>
      <c r="L66" s="92">
        <f>сентябрь!E39</f>
        <v>0</v>
      </c>
      <c r="M66" s="92">
        <f>октябрь!E39</f>
        <v>0</v>
      </c>
      <c r="N66" s="92">
        <v>0</v>
      </c>
      <c r="O66" s="92">
        <v>0</v>
      </c>
      <c r="P66" s="92">
        <f>SUM(D66:O66)</f>
        <v>0</v>
      </c>
      <c r="Q66" s="92"/>
      <c r="R66" s="130">
        <f t="shared" si="8"/>
        <v>0</v>
      </c>
      <c r="S66" s="133"/>
    </row>
    <row r="67" spans="1:19" s="134" customFormat="1" ht="15">
      <c r="A67" s="105"/>
      <c r="B67" s="169"/>
      <c r="C67" s="92"/>
      <c r="D67" s="129">
        <f>январь!G37</f>
        <v>0</v>
      </c>
      <c r="E67" s="129">
        <f>февраль!G36</f>
        <v>0</v>
      </c>
      <c r="F67" s="129">
        <f>март!E36</f>
        <v>0</v>
      </c>
      <c r="G67" s="129">
        <f>апрель!E37</f>
        <v>0</v>
      </c>
      <c r="H67" s="129">
        <f>май!E37</f>
        <v>0</v>
      </c>
      <c r="I67" s="92">
        <f>июнь!E41</f>
        <v>0</v>
      </c>
      <c r="J67" s="92">
        <f>июль!E38</f>
        <v>0</v>
      </c>
      <c r="K67" s="92">
        <f>август!E41</f>
        <v>0</v>
      </c>
      <c r="L67" s="92">
        <f>сентябрь!E41</f>
        <v>0</v>
      </c>
      <c r="M67" s="92">
        <f>октябрь!E41</f>
        <v>0</v>
      </c>
      <c r="N67" s="92">
        <v>0</v>
      </c>
      <c r="O67" s="92">
        <v>0</v>
      </c>
      <c r="P67" s="92">
        <f>SUM(D67:O67)</f>
        <v>0</v>
      </c>
      <c r="Q67" s="92"/>
      <c r="R67" s="130">
        <f t="shared" si="8"/>
        <v>0</v>
      </c>
      <c r="S67" s="133"/>
    </row>
    <row r="68" spans="1:19" s="140" customFormat="1" ht="17.25" customHeight="1">
      <c r="A68" s="137"/>
      <c r="B68" s="135" t="s">
        <v>35</v>
      </c>
      <c r="C68" s="131"/>
      <c r="D68" s="131">
        <f>январь!E44</f>
        <v>0</v>
      </c>
      <c r="E68" s="131">
        <f>февраль!E43</f>
        <v>0</v>
      </c>
      <c r="F68" s="131">
        <f>март!E43</f>
        <v>0</v>
      </c>
      <c r="G68" s="86">
        <f>апрель!E43</f>
        <v>0</v>
      </c>
      <c r="H68" s="86">
        <f>май!E43</f>
        <v>5490.72</v>
      </c>
      <c r="I68" s="86">
        <f>июнь!G47</f>
        <v>5490.72</v>
      </c>
      <c r="J68" s="86">
        <f>июль!G44</f>
        <v>5490.72</v>
      </c>
      <c r="K68" s="86">
        <f>август!E47</f>
        <v>5490.72</v>
      </c>
      <c r="L68" s="86">
        <f>сентябрь!E46</f>
        <v>5490.72</v>
      </c>
      <c r="M68" s="86">
        <f>октябрь!E46</f>
        <v>5490.72</v>
      </c>
      <c r="N68" s="86">
        <f>'ноябрь '!G46</f>
        <v>5490.72</v>
      </c>
      <c r="O68" s="86">
        <f>декабрь!G46</f>
        <v>5490.72</v>
      </c>
      <c r="P68" s="86">
        <f>H68+I68+J68+K68+L68+M68+N68+O68</f>
        <v>43925.76</v>
      </c>
      <c r="Q68" s="86">
        <f>P68-O68</f>
        <v>38435.04</v>
      </c>
      <c r="R68" s="125">
        <f>C68+P68-Q68</f>
        <v>5490.720000000001</v>
      </c>
      <c r="S68" s="139"/>
    </row>
    <row r="69" spans="1:21" s="88" customFormat="1" ht="14.25">
      <c r="A69" s="106"/>
      <c r="B69" s="85" t="s">
        <v>105</v>
      </c>
      <c r="C69" s="86">
        <f aca="true" t="shared" si="16" ref="C69:O69">C59+C58+C57+C56+C53+C50+C33+C61+C68</f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3.2</v>
      </c>
      <c r="H69" s="86">
        <f>H59+H58+H57+H56+H53+H50+H33+H61+H68</f>
        <v>68429.78</v>
      </c>
      <c r="I69" s="86">
        <f t="shared" si="16"/>
        <v>75282.6666</v>
      </c>
      <c r="J69" s="86">
        <f t="shared" si="16"/>
        <v>67985.8266</v>
      </c>
      <c r="K69" s="86">
        <f t="shared" si="16"/>
        <v>86881.17659999999</v>
      </c>
      <c r="L69" s="86">
        <f t="shared" si="16"/>
        <v>69314.1266</v>
      </c>
      <c r="M69" s="86">
        <f t="shared" si="16"/>
        <v>117869.0866</v>
      </c>
      <c r="N69" s="86">
        <f t="shared" si="16"/>
        <v>72032.9166</v>
      </c>
      <c r="O69" s="86">
        <f t="shared" si="16"/>
        <v>78074.50660000001</v>
      </c>
      <c r="P69" s="86">
        <f>SUM(D69:O69)</f>
        <v>635873.2862</v>
      </c>
      <c r="Q69" s="86">
        <f>Q59+Q58+Q57+Q56+Q53+Q50+Q33+Q61+Q68</f>
        <v>547326.0996</v>
      </c>
      <c r="R69" s="125">
        <f>C69+P69-Q69</f>
        <v>88547.18660000002</v>
      </c>
      <c r="S69" s="87"/>
      <c r="U69" s="87"/>
    </row>
    <row r="70" spans="2:20" s="107" customFormat="1" ht="0.75" customHeight="1">
      <c r="B70" s="107" t="s">
        <v>79</v>
      </c>
      <c r="C70" s="98"/>
      <c r="D70" s="98">
        <f aca="true" t="shared" si="17" ref="D70:P70">D16-D69</f>
        <v>0</v>
      </c>
      <c r="E70" s="98">
        <f t="shared" si="17"/>
        <v>0</v>
      </c>
      <c r="F70" s="98">
        <f t="shared" si="17"/>
        <v>0</v>
      </c>
      <c r="G70" s="98">
        <f t="shared" si="17"/>
        <v>-3.2</v>
      </c>
      <c r="H70" s="98">
        <f t="shared" si="17"/>
        <v>18227.089999999997</v>
      </c>
      <c r="I70" s="98">
        <f t="shared" si="17"/>
        <v>16419.55339999999</v>
      </c>
      <c r="J70" s="98">
        <f t="shared" si="17"/>
        <v>22181.553400000004</v>
      </c>
      <c r="K70" s="98">
        <f t="shared" si="17"/>
        <v>1526.8534000000072</v>
      </c>
      <c r="L70" s="98">
        <f t="shared" si="17"/>
        <v>21584.583400000003</v>
      </c>
      <c r="M70" s="98">
        <f t="shared" si="17"/>
        <v>-47064.37659999999</v>
      </c>
      <c r="N70" s="98">
        <f t="shared" si="17"/>
        <v>21361.983400000012</v>
      </c>
      <c r="O70" s="98">
        <f t="shared" si="17"/>
        <v>2946.493399999992</v>
      </c>
      <c r="P70" s="98">
        <f t="shared" si="17"/>
        <v>57180.533799999976</v>
      </c>
      <c r="Q70" s="98"/>
      <c r="R70" s="121">
        <f>C70+P70-Q70</f>
        <v>57180.533799999976</v>
      </c>
      <c r="S70" s="108"/>
      <c r="T70" s="108"/>
    </row>
    <row r="71" spans="2:19" s="54" customFormat="1" ht="15.75">
      <c r="B71" s="191" t="s">
        <v>67</v>
      </c>
      <c r="C71" s="192"/>
      <c r="D71" s="66"/>
      <c r="E71" s="66"/>
      <c r="F71" s="66"/>
      <c r="G71" s="66"/>
      <c r="H71" s="66"/>
      <c r="I71" s="66"/>
      <c r="J71" s="67"/>
      <c r="K71" s="67"/>
      <c r="L71" s="67"/>
      <c r="M71" s="67"/>
      <c r="N71" s="67"/>
      <c r="O71" s="67"/>
      <c r="P71" s="98"/>
      <c r="Q71" s="67"/>
      <c r="R71" s="121"/>
      <c r="S71" s="58"/>
    </row>
    <row r="72" spans="1:18" ht="15">
      <c r="A72" s="96"/>
      <c r="B72" s="97" t="s">
        <v>36</v>
      </c>
      <c r="C72" s="98"/>
      <c r="D72" s="98">
        <f>январь!E48</f>
        <v>0</v>
      </c>
      <c r="E72" s="98">
        <f>февраль!E47</f>
        <v>0</v>
      </c>
      <c r="F72" s="98">
        <f>март!E47</f>
        <v>0</v>
      </c>
      <c r="G72" s="98">
        <f>апрель!E47</f>
        <v>0</v>
      </c>
      <c r="H72" s="98">
        <f>май!E47</f>
        <v>27700.65</v>
      </c>
      <c r="I72" s="98">
        <f>июнь!E51</f>
        <v>27871.07</v>
      </c>
      <c r="J72" s="99">
        <f>июль!E48</f>
        <v>27238.25</v>
      </c>
      <c r="K72" s="99">
        <f>август!E51</f>
        <v>29536.65</v>
      </c>
      <c r="L72" s="99">
        <f>сентябрь!E50</f>
        <v>32100.25</v>
      </c>
      <c r="M72" s="99">
        <f>октябрь!E50</f>
        <v>35282.65</v>
      </c>
      <c r="N72" s="99">
        <f>'ноябрь '!E50</f>
        <v>34575.45</v>
      </c>
      <c r="O72" s="99">
        <f>декабрь!E50</f>
        <v>36785.45</v>
      </c>
      <c r="P72" s="98">
        <f aca="true" t="shared" si="18" ref="P72:P79">SUM(D72:O72)</f>
        <v>251090.41999999998</v>
      </c>
      <c r="Q72" s="99">
        <f>Q8+Q21</f>
        <v>220390.01</v>
      </c>
      <c r="R72" s="121">
        <f t="shared" si="8"/>
        <v>30700.409999999974</v>
      </c>
    </row>
    <row r="73" spans="1:22" ht="15">
      <c r="A73" s="96"/>
      <c r="B73" s="97" t="s">
        <v>71</v>
      </c>
      <c r="C73" s="98"/>
      <c r="D73" s="98">
        <f>январь!E49</f>
        <v>0</v>
      </c>
      <c r="E73" s="98">
        <f>февраль!E48</f>
        <v>0</v>
      </c>
      <c r="F73" s="98">
        <f>март!E48</f>
        <v>0</v>
      </c>
      <c r="G73" s="98">
        <f>апрель!E48</f>
        <v>0</v>
      </c>
      <c r="H73" s="98">
        <f>май!E48</f>
        <v>23548.95</v>
      </c>
      <c r="I73" s="98">
        <f>июнь!E52</f>
        <v>0</v>
      </c>
      <c r="J73" s="99">
        <f>июль!E49</f>
        <v>0</v>
      </c>
      <c r="K73" s="99">
        <f>август!E52</f>
        <v>0</v>
      </c>
      <c r="L73" s="99">
        <f>сентябрь!E51</f>
        <v>5566.31</v>
      </c>
      <c r="M73" s="99">
        <f>октябрь!E51</f>
        <v>45742.15</v>
      </c>
      <c r="N73" s="99">
        <f>'ноябрь '!E51</f>
        <v>62748.16</v>
      </c>
      <c r="O73" s="99">
        <f>декабрь!E51</f>
        <v>103508.36</v>
      </c>
      <c r="P73" s="98">
        <f t="shared" si="18"/>
        <v>241113.93</v>
      </c>
      <c r="Q73" s="99">
        <f>Q22</f>
        <v>127898.87</v>
      </c>
      <c r="R73" s="121">
        <f t="shared" si="8"/>
        <v>113215.06</v>
      </c>
      <c r="U73" s="109"/>
      <c r="V73" s="103"/>
    </row>
    <row r="74" spans="1:18" ht="15">
      <c r="A74" s="96"/>
      <c r="B74" s="97" t="s">
        <v>38</v>
      </c>
      <c r="C74" s="98"/>
      <c r="D74" s="98">
        <f>январь!E50</f>
        <v>0</v>
      </c>
      <c r="E74" s="98">
        <f>февраль!E49</f>
        <v>0</v>
      </c>
      <c r="F74" s="98">
        <f>март!E49</f>
        <v>0</v>
      </c>
      <c r="G74" s="98">
        <f>апрель!E49</f>
        <v>0</v>
      </c>
      <c r="H74" s="98">
        <f>май!E49</f>
        <v>16718.76</v>
      </c>
      <c r="I74" s="98">
        <f>июнь!E53</f>
        <v>15219.49</v>
      </c>
      <c r="J74" s="99">
        <f>июль!E50</f>
        <v>15584.96</v>
      </c>
      <c r="K74" s="99">
        <f>август!E53</f>
        <v>10201.58</v>
      </c>
      <c r="L74" s="99">
        <f>сентябрь!E52</f>
        <v>18831.44</v>
      </c>
      <c r="M74" s="99">
        <f>октябрь!E52</f>
        <v>20564.19</v>
      </c>
      <c r="N74" s="99">
        <f>'ноябрь '!E52</f>
        <v>22177.55</v>
      </c>
      <c r="O74" s="99">
        <f>декабрь!E52</f>
        <v>21454.76</v>
      </c>
      <c r="P74" s="98">
        <f t="shared" si="18"/>
        <v>140752.73</v>
      </c>
      <c r="Q74" s="99">
        <f>Q7+Q23</f>
        <v>105308.57</v>
      </c>
      <c r="R74" s="121">
        <f t="shared" si="8"/>
        <v>35444.16</v>
      </c>
    </row>
    <row r="75" spans="1:18" ht="15">
      <c r="A75" s="96" t="s">
        <v>61</v>
      </c>
      <c r="B75" s="97" t="s">
        <v>74</v>
      </c>
      <c r="C75" s="98"/>
      <c r="D75" s="98">
        <f>январь!E51</f>
        <v>0</v>
      </c>
      <c r="E75" s="98">
        <f>февраль!E50</f>
        <v>0</v>
      </c>
      <c r="F75" s="98">
        <f>март!E50</f>
        <v>0</v>
      </c>
      <c r="G75" s="98">
        <f>апрель!E50</f>
        <v>0</v>
      </c>
      <c r="H75" s="98">
        <f>май!E50</f>
        <v>7972.27</v>
      </c>
      <c r="I75" s="98">
        <f>июнь!E54</f>
        <v>8422.19</v>
      </c>
      <c r="J75" s="99">
        <f>июль!E51</f>
        <v>9206.55</v>
      </c>
      <c r="K75" s="99">
        <f>август!E54</f>
        <v>9386.39</v>
      </c>
      <c r="L75" s="99">
        <f>сентябрь!E53</f>
        <v>9137.88</v>
      </c>
      <c r="M75" s="99">
        <f>октябрь!E53</f>
        <v>8668.4</v>
      </c>
      <c r="N75" s="99">
        <f>'ноябрь '!E53</f>
        <v>8855.45</v>
      </c>
      <c r="O75" s="99">
        <f>декабрь!E53</f>
        <v>8231.28</v>
      </c>
      <c r="P75" s="98">
        <f t="shared" si="18"/>
        <v>69880.40999999999</v>
      </c>
      <c r="Q75" s="99">
        <f>Q5+Q19-Q42</f>
        <v>50419.59</v>
      </c>
      <c r="R75" s="121">
        <f t="shared" si="8"/>
        <v>19460.819999999992</v>
      </c>
    </row>
    <row r="76" spans="1:18" ht="15">
      <c r="A76" s="96"/>
      <c r="B76" s="97" t="s">
        <v>40</v>
      </c>
      <c r="C76" s="98"/>
      <c r="D76" s="98">
        <f>январь!E52</f>
        <v>0</v>
      </c>
      <c r="E76" s="98">
        <f>февраль!E51</f>
        <v>0</v>
      </c>
      <c r="F76" s="98">
        <f>март!E51</f>
        <v>0</v>
      </c>
      <c r="G76" s="98">
        <f>апрель!E51</f>
        <v>0</v>
      </c>
      <c r="H76" s="98">
        <f>май!E51</f>
        <v>10069.99</v>
      </c>
      <c r="I76" s="98">
        <f>июнь!E55</f>
        <v>11527.59</v>
      </c>
      <c r="J76" s="99">
        <f>июль!E52</f>
        <v>9777.68</v>
      </c>
      <c r="K76" s="99">
        <f>август!E55</f>
        <v>9159.28</v>
      </c>
      <c r="L76" s="99">
        <f>сентябрь!E54</f>
        <v>11522.19</v>
      </c>
      <c r="M76" s="99">
        <f>октябрь!E54</f>
        <v>10205.31</v>
      </c>
      <c r="N76" s="99">
        <f>'ноябрь '!E54</f>
        <v>11016.76</v>
      </c>
      <c r="O76" s="99">
        <f>декабрь!E54</f>
        <v>10430.49</v>
      </c>
      <c r="P76" s="98">
        <f t="shared" si="18"/>
        <v>83709.29000000001</v>
      </c>
      <c r="Q76" s="99">
        <f>Q20+Q6</f>
        <v>59558.159999999996</v>
      </c>
      <c r="R76" s="121">
        <f t="shared" si="8"/>
        <v>24151.130000000012</v>
      </c>
    </row>
    <row r="77" spans="1:19" s="88" customFormat="1" ht="14.25">
      <c r="A77" s="106"/>
      <c r="B77" s="85" t="s">
        <v>106</v>
      </c>
      <c r="C77" s="86">
        <f aca="true" t="shared" si="19" ref="C77:Q77">SUM(C72:C76)</f>
        <v>0</v>
      </c>
      <c r="D77" s="86">
        <f>SUM(D72:D76)</f>
        <v>0</v>
      </c>
      <c r="E77" s="86">
        <f t="shared" si="19"/>
        <v>0</v>
      </c>
      <c r="F77" s="86">
        <f t="shared" si="19"/>
        <v>0</v>
      </c>
      <c r="G77" s="86">
        <f t="shared" si="19"/>
        <v>0</v>
      </c>
      <c r="H77" s="86">
        <f t="shared" si="19"/>
        <v>86010.62000000001</v>
      </c>
      <c r="I77" s="86">
        <f t="shared" si="19"/>
        <v>63040.34</v>
      </c>
      <c r="J77" s="86">
        <f t="shared" si="19"/>
        <v>61807.439999999995</v>
      </c>
      <c r="K77" s="86">
        <f t="shared" si="19"/>
        <v>58283.9</v>
      </c>
      <c r="L77" s="86">
        <f t="shared" si="19"/>
        <v>77158.07</v>
      </c>
      <c r="M77" s="86">
        <f t="shared" si="19"/>
        <v>120462.7</v>
      </c>
      <c r="N77" s="86">
        <f t="shared" si="19"/>
        <v>139373.37</v>
      </c>
      <c r="O77" s="86">
        <f t="shared" si="19"/>
        <v>180410.34</v>
      </c>
      <c r="P77" s="86">
        <f t="shared" si="18"/>
        <v>786546.78</v>
      </c>
      <c r="Q77" s="86">
        <f t="shared" si="19"/>
        <v>563575.2000000001</v>
      </c>
      <c r="R77" s="125">
        <f t="shared" si="8"/>
        <v>222971.57999999996</v>
      </c>
      <c r="S77" s="87"/>
    </row>
    <row r="78" spans="2:20" s="107" customFormat="1" ht="0.75" customHeight="1">
      <c r="B78" s="107" t="s">
        <v>79</v>
      </c>
      <c r="C78" s="108">
        <f aca="true" t="shared" si="20" ref="C78:O78">C24-C77</f>
        <v>0</v>
      </c>
      <c r="D78" s="108">
        <f t="shared" si="20"/>
        <v>0</v>
      </c>
      <c r="E78" s="108">
        <f t="shared" si="20"/>
        <v>0</v>
      </c>
      <c r="F78" s="108">
        <f t="shared" si="20"/>
        <v>0</v>
      </c>
      <c r="G78" s="108">
        <f t="shared" si="20"/>
        <v>0</v>
      </c>
      <c r="H78" s="108">
        <f t="shared" si="20"/>
        <v>1225.979999999996</v>
      </c>
      <c r="I78" s="108">
        <f t="shared" si="20"/>
        <v>7544.6600000000035</v>
      </c>
      <c r="J78" s="108">
        <f t="shared" si="20"/>
        <v>94103.58000000002</v>
      </c>
      <c r="K78" s="108">
        <f t="shared" si="20"/>
        <v>-376857.14</v>
      </c>
      <c r="L78" s="108">
        <f t="shared" si="20"/>
        <v>-4862.540000000008</v>
      </c>
      <c r="M78" s="108">
        <f t="shared" si="20"/>
        <v>-9352.309999999998</v>
      </c>
      <c r="N78" s="108">
        <f>N24-N77</f>
        <v>363452.11000000004</v>
      </c>
      <c r="O78" s="108">
        <f t="shared" si="20"/>
        <v>-13639.879999999976</v>
      </c>
      <c r="P78" s="98">
        <f t="shared" si="18"/>
        <v>61614.46000000011</v>
      </c>
      <c r="Q78" s="108"/>
      <c r="R78" s="121">
        <f t="shared" si="8"/>
        <v>61614.46000000011</v>
      </c>
      <c r="S78" s="108"/>
      <c r="T78" s="108"/>
    </row>
    <row r="79" spans="1:22" s="88" customFormat="1" ht="14.25">
      <c r="A79" s="106"/>
      <c r="B79" s="85" t="s">
        <v>80</v>
      </c>
      <c r="C79" s="86">
        <f aca="true" t="shared" si="21" ref="C79:Q79">C69+C77</f>
        <v>0</v>
      </c>
      <c r="D79" s="86">
        <f>D69+D77</f>
        <v>0</v>
      </c>
      <c r="E79" s="86">
        <f t="shared" si="21"/>
        <v>0</v>
      </c>
      <c r="F79" s="86">
        <f t="shared" si="21"/>
        <v>0</v>
      </c>
      <c r="G79" s="86">
        <f t="shared" si="21"/>
        <v>3.2</v>
      </c>
      <c r="H79" s="86">
        <f t="shared" si="21"/>
        <v>154440.40000000002</v>
      </c>
      <c r="I79" s="86">
        <f t="shared" si="21"/>
        <v>138323.0066</v>
      </c>
      <c r="J79" s="86">
        <f t="shared" si="21"/>
        <v>129793.2666</v>
      </c>
      <c r="K79" s="86">
        <f t="shared" si="21"/>
        <v>145165.0766</v>
      </c>
      <c r="L79" s="86">
        <f t="shared" si="21"/>
        <v>146472.19660000002</v>
      </c>
      <c r="M79" s="86">
        <f t="shared" si="21"/>
        <v>238331.7866</v>
      </c>
      <c r="N79" s="86">
        <f t="shared" si="21"/>
        <v>211406.2866</v>
      </c>
      <c r="O79" s="86">
        <f t="shared" si="21"/>
        <v>258484.8466</v>
      </c>
      <c r="P79" s="86">
        <f t="shared" si="18"/>
        <v>1422420.0662</v>
      </c>
      <c r="Q79" s="86">
        <f t="shared" si="21"/>
        <v>1110901.2996</v>
      </c>
      <c r="R79" s="125">
        <f t="shared" si="8"/>
        <v>311518.7666</v>
      </c>
      <c r="S79" s="87"/>
      <c r="V79" s="87"/>
    </row>
    <row r="80" spans="2:20" s="107" customFormat="1" ht="30">
      <c r="B80" s="110" t="s">
        <v>81</v>
      </c>
      <c r="C80" s="111"/>
      <c r="D80" s="111">
        <f aca="true" t="shared" si="22" ref="D80:O80">D70+D78</f>
        <v>0</v>
      </c>
      <c r="E80" s="111">
        <f t="shared" si="22"/>
        <v>0</v>
      </c>
      <c r="F80" s="111">
        <f t="shared" si="22"/>
        <v>0</v>
      </c>
      <c r="G80" s="111">
        <f t="shared" si="22"/>
        <v>-3.2</v>
      </c>
      <c r="H80" s="111">
        <f t="shared" si="22"/>
        <v>19453.069999999992</v>
      </c>
      <c r="I80" s="111">
        <f t="shared" si="22"/>
        <v>23964.213399999993</v>
      </c>
      <c r="J80" s="111">
        <f t="shared" si="22"/>
        <v>116285.13340000002</v>
      </c>
      <c r="K80" s="111">
        <f t="shared" si="22"/>
        <v>-375330.2866</v>
      </c>
      <c r="L80" s="111">
        <f t="shared" si="22"/>
        <v>16722.043399999995</v>
      </c>
      <c r="M80" s="111">
        <f t="shared" si="22"/>
        <v>-56416.686599999986</v>
      </c>
      <c r="N80" s="111">
        <f t="shared" si="22"/>
        <v>384814.09340000007</v>
      </c>
      <c r="O80" s="111">
        <f t="shared" si="22"/>
        <v>-10693.386599999983</v>
      </c>
      <c r="P80" s="111">
        <f>P78+P70</f>
        <v>118794.99380000008</v>
      </c>
      <c r="Q80" s="111"/>
      <c r="R80" s="111">
        <f>P80</f>
        <v>118794.99380000008</v>
      </c>
      <c r="S80" s="108"/>
      <c r="T80" s="108"/>
    </row>
    <row r="81" spans="2:20" s="107" customFormat="1" ht="15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08"/>
      <c r="T81" s="108"/>
    </row>
    <row r="82" spans="2:19" ht="0.75" customHeight="1">
      <c r="B82" s="101" t="s">
        <v>196</v>
      </c>
      <c r="C82" s="100"/>
      <c r="D82" s="100">
        <v>-3553.17</v>
      </c>
      <c r="E82" s="100">
        <v>-12212.52</v>
      </c>
      <c r="F82" s="100">
        <v>2746.0299999999843</v>
      </c>
      <c r="G82" s="100">
        <v>42622.84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</row>
    <row r="83" spans="2:19" ht="15" hidden="1">
      <c r="B83" s="97" t="s">
        <v>36</v>
      </c>
      <c r="C83" s="100"/>
      <c r="D83" s="100"/>
      <c r="E83" s="100"/>
      <c r="F83" s="100"/>
      <c r="G83" s="100"/>
      <c r="H83" s="100" t="s">
        <v>61</v>
      </c>
      <c r="I83" s="100"/>
      <c r="J83" s="100"/>
      <c r="K83" s="100"/>
      <c r="L83" s="100"/>
      <c r="M83" s="100"/>
      <c r="N83" s="100"/>
      <c r="O83" s="100"/>
      <c r="P83" s="108">
        <f>P72-P8-P21</f>
        <v>-10116.170000000042</v>
      </c>
      <c r="Q83" s="108"/>
      <c r="R83" s="100"/>
      <c r="S83" s="101"/>
    </row>
    <row r="84" spans="2:19" ht="15" hidden="1">
      <c r="B84" s="97" t="s">
        <v>71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14"/>
      <c r="O84" s="114"/>
      <c r="P84" s="114">
        <f>P73-P22</f>
        <v>1030.0599999999977</v>
      </c>
      <c r="Q84" s="114"/>
      <c r="R84" s="114"/>
      <c r="S84" s="101"/>
    </row>
    <row r="85" spans="2:19" ht="15" hidden="1">
      <c r="B85" s="97" t="s">
        <v>38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14"/>
      <c r="O85" s="114"/>
      <c r="P85" s="114">
        <f>P74-P7-P23</f>
        <v>-56233.17999999999</v>
      </c>
      <c r="Q85" s="114"/>
      <c r="R85" s="114"/>
      <c r="S85" s="101"/>
    </row>
    <row r="86" spans="2:19" ht="15" hidden="1">
      <c r="B86" s="97" t="s">
        <v>74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14"/>
      <c r="O86" s="114"/>
      <c r="P86" s="114">
        <f>P75+P42-P5-P19</f>
        <v>-8161.220000000001</v>
      </c>
      <c r="Q86" s="114"/>
      <c r="R86" s="114"/>
      <c r="S86" s="101"/>
    </row>
    <row r="87" spans="2:19" ht="15" hidden="1">
      <c r="B87" s="97" t="s">
        <v>40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14"/>
      <c r="O87" s="114"/>
      <c r="P87" s="114">
        <f>P76-P6-P20</f>
        <v>-20959.829999999987</v>
      </c>
      <c r="Q87" s="114"/>
      <c r="R87" s="114"/>
      <c r="S87" s="101"/>
    </row>
    <row r="88" spans="2:16" ht="12.75" hidden="1">
      <c r="B88" s="101" t="s">
        <v>198</v>
      </c>
      <c r="P88" s="108">
        <f>SUM(P83:P87)</f>
        <v>-94440.34000000003</v>
      </c>
    </row>
    <row r="89" ht="12.75">
      <c r="P89" s="108"/>
    </row>
    <row r="90" ht="12.75">
      <c r="P90" s="108"/>
    </row>
    <row r="91" ht="12.75">
      <c r="P91" s="108"/>
    </row>
    <row r="92" spans="2:3" ht="12.75">
      <c r="B92" s="101" t="s">
        <v>86</v>
      </c>
      <c r="C92" s="101" t="s">
        <v>197</v>
      </c>
    </row>
    <row r="93" spans="17:18" ht="12.75">
      <c r="Q93" s="100"/>
      <c r="R93" s="100"/>
    </row>
    <row r="94" spans="2:3" ht="12.75">
      <c r="B94" s="101" t="s">
        <v>88</v>
      </c>
      <c r="C94" s="101" t="s">
        <v>89</v>
      </c>
    </row>
  </sheetData>
  <sheetProtection/>
  <mergeCells count="5">
    <mergeCell ref="B71:C71"/>
    <mergeCell ref="B1:R1"/>
    <mergeCell ref="B30:R30"/>
    <mergeCell ref="B31:C31"/>
    <mergeCell ref="B18:C1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52" max="17" man="1"/>
  </rowBreaks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3">
      <selection activeCell="F26" sqref="F26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8.00390625" style="10" customWidth="1"/>
    <col min="9" max="10" width="9.140625" style="10" customWidth="1"/>
    <col min="11" max="11" width="9.421875" style="10" bestFit="1" customWidth="1"/>
    <col min="12" max="16384" width="9.140625" style="10" customWidth="1"/>
  </cols>
  <sheetData>
    <row r="1" spans="1:5" s="2" customFormat="1" ht="15">
      <c r="A1" s="199" t="s">
        <v>0</v>
      </c>
      <c r="B1" s="199"/>
      <c r="C1" s="1" t="s">
        <v>178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189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190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f>E15+E17+E18</f>
        <v>9962.99</v>
      </c>
      <c r="F13" s="19">
        <f>F15+F17</f>
        <v>203.8</v>
      </c>
      <c r="G13" s="19">
        <f>G15+G17+G18</f>
        <v>10166.789999999999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8" s="4" customFormat="1" ht="15">
      <c r="A15" s="37"/>
      <c r="B15" s="168" t="s">
        <v>186</v>
      </c>
      <c r="C15" s="126" t="s">
        <v>12</v>
      </c>
      <c r="D15" s="27">
        <v>1</v>
      </c>
      <c r="E15" s="28">
        <v>8462.99</v>
      </c>
      <c r="F15" s="28">
        <v>123</v>
      </c>
      <c r="G15" s="28">
        <f>E15+F15</f>
        <v>8585.99</v>
      </c>
      <c r="H15" s="27"/>
    </row>
    <row r="16" spans="1:8" s="4" customFormat="1" ht="15">
      <c r="A16" s="37"/>
      <c r="B16" s="168" t="s">
        <v>141</v>
      </c>
      <c r="C16" s="126"/>
      <c r="D16" s="27"/>
      <c r="E16" s="28">
        <v>0</v>
      </c>
      <c r="F16" s="28"/>
      <c r="G16" s="28">
        <f>E16</f>
        <v>0</v>
      </c>
      <c r="H16" s="27"/>
    </row>
    <row r="17" spans="1:8" s="4" customFormat="1" ht="15">
      <c r="A17" s="37"/>
      <c r="B17" s="168" t="s">
        <v>181</v>
      </c>
      <c r="C17" s="126"/>
      <c r="D17" s="27"/>
      <c r="E17" s="28">
        <v>1500</v>
      </c>
      <c r="F17" s="28">
        <v>80.8</v>
      </c>
      <c r="G17" s="28">
        <f>E17+F17</f>
        <v>1580.8</v>
      </c>
      <c r="H17" s="27"/>
    </row>
    <row r="18" spans="1:8" s="4" customFormat="1" ht="15">
      <c r="A18" s="37"/>
      <c r="B18" s="168"/>
      <c r="C18" s="126"/>
      <c r="D18" s="27"/>
      <c r="E18" s="28"/>
      <c r="F18" s="28"/>
      <c r="G18" s="28"/>
      <c r="H18" s="27"/>
    </row>
    <row r="19" spans="1:11" s="2" customFormat="1" ht="30" customHeight="1">
      <c r="A19" s="13" t="s">
        <v>19</v>
      </c>
      <c r="B19" s="118" t="s">
        <v>118</v>
      </c>
      <c r="C19" s="11" t="s">
        <v>12</v>
      </c>
      <c r="D19" s="15">
        <v>1</v>
      </c>
      <c r="E19" s="19">
        <v>2538.92</v>
      </c>
      <c r="F19" s="19">
        <v>189</v>
      </c>
      <c r="G19" s="19">
        <f aca="true" t="shared" si="0" ref="G19:G31">E19+F19</f>
        <v>2727.92</v>
      </c>
      <c r="H19" s="15"/>
      <c r="K19" s="9"/>
    </row>
    <row r="20" spans="1:8" s="2" customFormat="1" ht="15" customHeight="1">
      <c r="A20" s="13" t="s">
        <v>20</v>
      </c>
      <c r="B20" s="122" t="s">
        <v>16</v>
      </c>
      <c r="C20" s="11" t="s">
        <v>12</v>
      </c>
      <c r="D20" s="15">
        <v>1</v>
      </c>
      <c r="E20" s="19">
        <v>611</v>
      </c>
      <c r="F20" s="19"/>
      <c r="G20" s="19">
        <f t="shared" si="0"/>
        <v>611</v>
      </c>
      <c r="H20" s="15"/>
    </row>
    <row r="21" spans="1:8" s="2" customFormat="1" ht="15" customHeight="1">
      <c r="A21" s="13" t="s">
        <v>21</v>
      </c>
      <c r="B21" s="55" t="s">
        <v>68</v>
      </c>
      <c r="C21" s="11"/>
      <c r="D21" s="15">
        <v>1</v>
      </c>
      <c r="E21" s="19">
        <v>936.06</v>
      </c>
      <c r="F21" s="19"/>
      <c r="G21" s="19">
        <f t="shared" si="0"/>
        <v>936.06</v>
      </c>
      <c r="H21" s="15"/>
    </row>
    <row r="22" spans="1:8" s="2" customFormat="1" ht="15" customHeight="1">
      <c r="A22" s="13" t="s">
        <v>22</v>
      </c>
      <c r="B22" s="55" t="s">
        <v>69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23</v>
      </c>
      <c r="B23" s="55" t="s">
        <v>72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 customHeight="1">
      <c r="A24" s="13" t="s">
        <v>24</v>
      </c>
      <c r="B24" s="55" t="s">
        <v>70</v>
      </c>
      <c r="C24" s="11"/>
      <c r="D24" s="15">
        <v>1</v>
      </c>
      <c r="E24" s="19"/>
      <c r="F24" s="19"/>
      <c r="G24" s="19">
        <f t="shared" si="0"/>
        <v>0</v>
      </c>
      <c r="H24" s="15"/>
    </row>
    <row r="25" spans="1:8" s="2" customFormat="1" ht="15">
      <c r="A25" s="13" t="s">
        <v>25</v>
      </c>
      <c r="B25" s="122" t="s">
        <v>34</v>
      </c>
      <c r="C25" s="11" t="s">
        <v>12</v>
      </c>
      <c r="D25" s="15">
        <v>1</v>
      </c>
      <c r="E25" s="19">
        <v>643.39</v>
      </c>
      <c r="F25" s="19"/>
      <c r="G25" s="19">
        <f t="shared" si="0"/>
        <v>643.39</v>
      </c>
      <c r="H25" s="15"/>
    </row>
    <row r="26" spans="1:8" s="2" customFormat="1" ht="15">
      <c r="A26" s="13" t="s">
        <v>98</v>
      </c>
      <c r="B26" s="122" t="s">
        <v>119</v>
      </c>
      <c r="C26" s="11" t="s">
        <v>12</v>
      </c>
      <c r="D26" s="15">
        <v>1</v>
      </c>
      <c r="E26" s="16">
        <v>1704.78</v>
      </c>
      <c r="F26" s="19"/>
      <c r="G26" s="19">
        <f t="shared" si="0"/>
        <v>1704.78</v>
      </c>
      <c r="H26" s="15"/>
    </row>
    <row r="27" spans="1:10" s="2" customFormat="1" ht="30">
      <c r="A27" s="13" t="s">
        <v>99</v>
      </c>
      <c r="B27" s="118" t="s">
        <v>120</v>
      </c>
      <c r="C27" s="11" t="s">
        <v>12</v>
      </c>
      <c r="D27" s="15">
        <v>1</v>
      </c>
      <c r="E27" s="16">
        <v>3699.37</v>
      </c>
      <c r="F27" s="19"/>
      <c r="G27" s="19">
        <f t="shared" si="0"/>
        <v>3699.37</v>
      </c>
      <c r="H27" s="15"/>
      <c r="J27" s="2">
        <f>E27</f>
        <v>3699.37</v>
      </c>
    </row>
    <row r="28" spans="1:8" s="2" customFormat="1" ht="15">
      <c r="A28" s="13" t="s">
        <v>143</v>
      </c>
      <c r="B28" s="122" t="s">
        <v>121</v>
      </c>
      <c r="C28" s="11" t="s">
        <v>12</v>
      </c>
      <c r="D28" s="15">
        <v>1</v>
      </c>
      <c r="E28" s="16">
        <f>1.68*H11</f>
        <v>6372.072</v>
      </c>
      <c r="F28" s="19"/>
      <c r="G28" s="19">
        <f t="shared" si="0"/>
        <v>6372.072</v>
      </c>
      <c r="H28" s="15"/>
    </row>
    <row r="29" spans="1:8" s="2" customFormat="1" ht="27.75" customHeight="1">
      <c r="A29" s="13" t="s">
        <v>144</v>
      </c>
      <c r="B29" s="144" t="s">
        <v>122</v>
      </c>
      <c r="C29" s="11" t="s">
        <v>12</v>
      </c>
      <c r="D29" s="15">
        <v>1</v>
      </c>
      <c r="E29" s="16">
        <f>2.274*H11</f>
        <v>8625.0546</v>
      </c>
      <c r="F29" s="19"/>
      <c r="G29" s="19">
        <f t="shared" si="0"/>
        <v>8625.0546</v>
      </c>
      <c r="H29" s="15"/>
    </row>
    <row r="30" spans="1:8" s="2" customFormat="1" ht="15">
      <c r="A30" s="13" t="s">
        <v>145</v>
      </c>
      <c r="B30" s="145" t="s">
        <v>103</v>
      </c>
      <c r="C30" s="11" t="s">
        <v>12</v>
      </c>
      <c r="D30" s="15">
        <v>1</v>
      </c>
      <c r="E30" s="16">
        <f>0.4*H11</f>
        <v>1517.16</v>
      </c>
      <c r="F30" s="19"/>
      <c r="G30" s="19">
        <f t="shared" si="0"/>
        <v>1517.16</v>
      </c>
      <c r="H30" s="15"/>
    </row>
    <row r="31" spans="1:8" s="2" customFormat="1" ht="15">
      <c r="A31" s="13" t="s">
        <v>146</v>
      </c>
      <c r="B31" s="145" t="s">
        <v>104</v>
      </c>
      <c r="C31" s="11" t="s">
        <v>12</v>
      </c>
      <c r="D31" s="15">
        <v>1</v>
      </c>
      <c r="E31" s="19">
        <f>0.1*H11</f>
        <v>379.29</v>
      </c>
      <c r="F31" s="19"/>
      <c r="G31" s="19">
        <f t="shared" si="0"/>
        <v>379.29</v>
      </c>
      <c r="H31" s="15"/>
    </row>
    <row r="32" spans="1:10" s="2" customFormat="1" ht="17.25" customHeight="1">
      <c r="A32" s="214" t="s">
        <v>123</v>
      </c>
      <c r="B32" s="215"/>
      <c r="C32" s="146"/>
      <c r="D32" s="29"/>
      <c r="E32" s="30">
        <f>E13+E19+E20+E21+E22+E23+E24+E25+E26+E27+E28+E29+E30+E31</f>
        <v>36990.0866</v>
      </c>
      <c r="F32" s="30">
        <f>F13+F19+F20+F21+F22+F23+F24+F25+F26+F27+F28+F29+F30+F31+F18</f>
        <v>392.8</v>
      </c>
      <c r="G32" s="30">
        <f>G13+G19+G20+G21+G22+G23+G24+G25+G26+G27+G28+G29+G30+G31</f>
        <v>37382.886600000005</v>
      </c>
      <c r="H32" s="29"/>
      <c r="J32" s="9"/>
    </row>
    <row r="33" spans="1:8" s="2" customFormat="1" ht="33.75" customHeight="1">
      <c r="A33" s="143" t="s">
        <v>124</v>
      </c>
      <c r="B33" s="212" t="s">
        <v>125</v>
      </c>
      <c r="C33" s="213"/>
      <c r="D33" s="213"/>
      <c r="E33" s="213"/>
      <c r="F33" s="213"/>
      <c r="G33" s="213"/>
      <c r="H33" s="116"/>
    </row>
    <row r="34" spans="1:8" s="2" customFormat="1" ht="36.75" customHeight="1">
      <c r="A34" s="13" t="s">
        <v>3</v>
      </c>
      <c r="B34" s="11" t="s">
        <v>29</v>
      </c>
      <c r="C34" s="11" t="s">
        <v>5</v>
      </c>
      <c r="D34" s="11" t="s">
        <v>6</v>
      </c>
      <c r="E34" s="12" t="s">
        <v>13</v>
      </c>
      <c r="F34" s="12" t="s">
        <v>28</v>
      </c>
      <c r="G34" s="11" t="s">
        <v>14</v>
      </c>
      <c r="H34" s="11" t="s">
        <v>7</v>
      </c>
    </row>
    <row r="35" spans="1:8" s="2" customFormat="1" ht="30" customHeight="1">
      <c r="A35" s="13" t="s">
        <v>26</v>
      </c>
      <c r="B35" s="118" t="s">
        <v>135</v>
      </c>
      <c r="C35" s="11" t="s">
        <v>12</v>
      </c>
      <c r="D35" s="15">
        <v>1</v>
      </c>
      <c r="E35" s="19">
        <f>E36+E37</f>
        <v>0</v>
      </c>
      <c r="F35" s="19">
        <f>F36+F37</f>
        <v>0</v>
      </c>
      <c r="G35" s="19">
        <f>G36+G37</f>
        <v>0</v>
      </c>
      <c r="H35" s="15"/>
    </row>
    <row r="36" spans="1:8" s="2" customFormat="1" ht="15">
      <c r="A36" s="13"/>
      <c r="B36" s="118"/>
      <c r="C36" s="11"/>
      <c r="D36" s="15"/>
      <c r="E36" s="19"/>
      <c r="F36" s="19"/>
      <c r="G36" s="19">
        <f>E36+F36</f>
        <v>0</v>
      </c>
      <c r="H36" s="15"/>
    </row>
    <row r="37" spans="1:10" s="2" customFormat="1" ht="15">
      <c r="A37" s="13"/>
      <c r="B37" s="118"/>
      <c r="C37" s="11"/>
      <c r="D37" s="15"/>
      <c r="E37" s="19"/>
      <c r="F37" s="19"/>
      <c r="G37" s="19">
        <f>E37+F37</f>
        <v>0</v>
      </c>
      <c r="H37" s="15"/>
      <c r="J37" s="164">
        <f>F32+F41</f>
        <v>17910.8</v>
      </c>
    </row>
    <row r="38" spans="1:8" s="2" customFormat="1" ht="26.25" customHeight="1">
      <c r="A38" s="13" t="s">
        <v>27</v>
      </c>
      <c r="B38" s="118" t="s">
        <v>136</v>
      </c>
      <c r="C38" s="11" t="s">
        <v>12</v>
      </c>
      <c r="D38" s="15">
        <v>1</v>
      </c>
      <c r="E38" s="19">
        <f>E39+E40</f>
        <v>0</v>
      </c>
      <c r="F38" s="19">
        <f>F39+F40</f>
        <v>17518</v>
      </c>
      <c r="G38" s="19">
        <f>G39+G40</f>
        <v>17518</v>
      </c>
      <c r="H38" s="15"/>
    </row>
    <row r="39" spans="1:8" s="2" customFormat="1" ht="15">
      <c r="A39" s="158"/>
      <c r="B39" s="159"/>
      <c r="C39" s="160"/>
      <c r="D39" s="15"/>
      <c r="E39" s="19"/>
      <c r="F39" s="19">
        <v>17518</v>
      </c>
      <c r="G39" s="19">
        <f>E39+F39</f>
        <v>17518</v>
      </c>
      <c r="H39" s="15"/>
    </row>
    <row r="40" spans="1:8" s="2" customFormat="1" ht="15">
      <c r="A40" s="158"/>
      <c r="B40" s="159"/>
      <c r="C40" s="160"/>
      <c r="D40" s="15"/>
      <c r="E40" s="19"/>
      <c r="F40" s="19"/>
      <c r="G40" s="19">
        <f>E40+F40</f>
        <v>0</v>
      </c>
      <c r="H40" s="15"/>
    </row>
    <row r="41" spans="1:8" s="2" customFormat="1" ht="24.75" customHeight="1">
      <c r="A41" s="214" t="s">
        <v>127</v>
      </c>
      <c r="B41" s="215"/>
      <c r="C41" s="216"/>
      <c r="D41" s="29"/>
      <c r="E41" s="30">
        <f>E35+E38</f>
        <v>0</v>
      </c>
      <c r="F41" s="30">
        <f>SUM(F35:F38)</f>
        <v>17518</v>
      </c>
      <c r="G41" s="30">
        <f>G35+G38</f>
        <v>17518</v>
      </c>
      <c r="H41" s="29"/>
    </row>
    <row r="42" s="2" customFormat="1" ht="9.75" customHeight="1">
      <c r="A42" s="35"/>
    </row>
    <row r="43" spans="1:8" s="2" customFormat="1" ht="36.75">
      <c r="A43" s="13" t="s">
        <v>3</v>
      </c>
      <c r="B43" s="11" t="s">
        <v>4</v>
      </c>
      <c r="C43" s="11" t="s">
        <v>5</v>
      </c>
      <c r="D43" s="11" t="s">
        <v>6</v>
      </c>
      <c r="E43" s="12" t="s">
        <v>30</v>
      </c>
      <c r="F43" s="12" t="s">
        <v>28</v>
      </c>
      <c r="G43" s="11" t="s">
        <v>14</v>
      </c>
      <c r="H43" s="11" t="s">
        <v>7</v>
      </c>
    </row>
    <row r="44" spans="1:9" s="2" customFormat="1" ht="15">
      <c r="A44" s="147" t="s">
        <v>128</v>
      </c>
      <c r="B44" s="127" t="s">
        <v>129</v>
      </c>
      <c r="C44" s="22" t="s">
        <v>12</v>
      </c>
      <c r="D44" s="21">
        <v>1</v>
      </c>
      <c r="E44" s="23">
        <v>3626.99</v>
      </c>
      <c r="F44" s="23"/>
      <c r="G44" s="23">
        <f>E44+F44</f>
        <v>3626.99</v>
      </c>
      <c r="H44" s="29"/>
      <c r="I44" s="2" t="s">
        <v>61</v>
      </c>
    </row>
    <row r="45" spans="1:8" s="2" customFormat="1" ht="15">
      <c r="A45" s="147" t="s">
        <v>130</v>
      </c>
      <c r="B45" s="127" t="s">
        <v>15</v>
      </c>
      <c r="C45" s="22" t="s">
        <v>12</v>
      </c>
      <c r="D45" s="21">
        <v>1</v>
      </c>
      <c r="E45" s="23">
        <v>8333.38</v>
      </c>
      <c r="F45" s="23"/>
      <c r="G45" s="23">
        <f>E45+F45</f>
        <v>8333.38</v>
      </c>
      <c r="H45" s="29"/>
    </row>
    <row r="46" spans="1:8" s="2" customFormat="1" ht="15">
      <c r="A46" s="147" t="s">
        <v>107</v>
      </c>
      <c r="B46" s="127" t="s">
        <v>131</v>
      </c>
      <c r="C46" s="22" t="s">
        <v>12</v>
      </c>
      <c r="D46" s="21">
        <v>1</v>
      </c>
      <c r="E46" s="23">
        <v>14529.2</v>
      </c>
      <c r="F46" s="23"/>
      <c r="G46" s="23">
        <f>E46+F46</f>
        <v>14529.2</v>
      </c>
      <c r="H46" s="29"/>
    </row>
    <row r="47" spans="1:7" s="34" customFormat="1" ht="28.5">
      <c r="A47" s="38" t="s">
        <v>132</v>
      </c>
      <c r="B47" s="135" t="s">
        <v>35</v>
      </c>
      <c r="C47" s="33" t="s">
        <v>12</v>
      </c>
      <c r="D47" s="148">
        <v>1</v>
      </c>
      <c r="E47" s="149">
        <v>5490.72</v>
      </c>
      <c r="F47" s="150"/>
      <c r="G47" s="23">
        <f>E47+F47</f>
        <v>5490.72</v>
      </c>
    </row>
    <row r="48" spans="1:8" s="2" customFormat="1" ht="15">
      <c r="A48" s="151"/>
      <c r="B48" s="152" t="s">
        <v>133</v>
      </c>
      <c r="C48" s="153"/>
      <c r="D48" s="154"/>
      <c r="E48" s="155">
        <f>E32+E41+E44+E45+E46+E47</f>
        <v>68970.3766</v>
      </c>
      <c r="F48" s="155">
        <f>F32+F41+F44+F45+F46+F47</f>
        <v>17910.8</v>
      </c>
      <c r="G48" s="155">
        <f>G32+G41+G44+G45+G46+G47</f>
        <v>86881.1766</v>
      </c>
      <c r="H48" s="29"/>
    </row>
    <row r="49" spans="1:7" s="32" customFormat="1" ht="15" customHeight="1">
      <c r="A49" s="204" t="s">
        <v>108</v>
      </c>
      <c r="B49" s="205"/>
      <c r="C49" s="205"/>
      <c r="D49" s="205"/>
      <c r="E49" s="205"/>
      <c r="F49" s="205"/>
      <c r="G49" s="206"/>
    </row>
    <row r="50" spans="1:7" s="2" customFormat="1" ht="33.75" customHeight="1">
      <c r="A50" s="13" t="s">
        <v>3</v>
      </c>
      <c r="B50" s="11" t="s">
        <v>4</v>
      </c>
      <c r="C50" s="11" t="s">
        <v>5</v>
      </c>
      <c r="D50" s="11" t="s">
        <v>6</v>
      </c>
      <c r="E50" s="12" t="s">
        <v>30</v>
      </c>
      <c r="F50" s="207" t="s">
        <v>31</v>
      </c>
      <c r="G50" s="208"/>
    </row>
    <row r="51" spans="1:7" s="2" customFormat="1" ht="25.5" customHeight="1">
      <c r="A51" s="13"/>
      <c r="B51" s="26" t="s">
        <v>36</v>
      </c>
      <c r="C51" s="22" t="s">
        <v>12</v>
      </c>
      <c r="D51" s="21">
        <v>1</v>
      </c>
      <c r="E51" s="23">
        <v>29536.65</v>
      </c>
      <c r="F51" s="23"/>
      <c r="G51" s="23"/>
    </row>
    <row r="52" spans="1:7" s="2" customFormat="1" ht="15">
      <c r="A52" s="13"/>
      <c r="B52" s="26" t="s">
        <v>37</v>
      </c>
      <c r="C52" s="22" t="s">
        <v>12</v>
      </c>
      <c r="D52" s="21">
        <v>1</v>
      </c>
      <c r="E52" s="23"/>
      <c r="F52" s="23"/>
      <c r="G52" s="23"/>
    </row>
    <row r="53" spans="1:7" s="2" customFormat="1" ht="15">
      <c r="A53" s="13"/>
      <c r="B53" s="26" t="s">
        <v>38</v>
      </c>
      <c r="C53" s="22" t="s">
        <v>12</v>
      </c>
      <c r="D53" s="21">
        <v>1</v>
      </c>
      <c r="E53" s="23">
        <v>10201.58</v>
      </c>
      <c r="F53" s="23"/>
      <c r="G53" s="23"/>
    </row>
    <row r="54" spans="1:7" s="2" customFormat="1" ht="15">
      <c r="A54" s="13"/>
      <c r="B54" s="26" t="s">
        <v>39</v>
      </c>
      <c r="C54" s="22" t="s">
        <v>12</v>
      </c>
      <c r="D54" s="21">
        <v>1</v>
      </c>
      <c r="E54" s="23">
        <v>9386.39</v>
      </c>
      <c r="F54" s="23"/>
      <c r="G54" s="23"/>
    </row>
    <row r="55" spans="1:7" s="2" customFormat="1" ht="15">
      <c r="A55" s="13"/>
      <c r="B55" s="26" t="s">
        <v>40</v>
      </c>
      <c r="C55" s="22" t="s">
        <v>12</v>
      </c>
      <c r="D55" s="15">
        <v>1</v>
      </c>
      <c r="E55" s="23">
        <v>9159.28</v>
      </c>
      <c r="F55" s="20"/>
      <c r="G55" s="19"/>
    </row>
    <row r="56" spans="1:7" s="2" customFormat="1" ht="15">
      <c r="A56" s="13"/>
      <c r="B56" s="14"/>
      <c r="C56" s="22"/>
      <c r="D56" s="21"/>
      <c r="E56" s="23"/>
      <c r="F56" s="23"/>
      <c r="G56" s="23"/>
    </row>
    <row r="57" spans="1:7" s="2" customFormat="1" ht="15">
      <c r="A57" s="209" t="s">
        <v>41</v>
      </c>
      <c r="B57" s="210"/>
      <c r="C57" s="211"/>
      <c r="D57" s="15"/>
      <c r="E57" s="23">
        <f>SUM(E51:E56)</f>
        <v>58283.9</v>
      </c>
      <c r="F57" s="17"/>
      <c r="G57" s="15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pans="1:7" s="2" customFormat="1" ht="15">
      <c r="A61" s="36"/>
      <c r="B61" s="8"/>
      <c r="C61" s="8"/>
      <c r="D61" s="24"/>
      <c r="E61" s="31"/>
      <c r="F61" s="25"/>
      <c r="G61" s="24"/>
    </row>
    <row r="62" s="2" customFormat="1" ht="15">
      <c r="A62" s="35"/>
    </row>
    <row r="63" spans="1:7" s="2" customFormat="1" ht="15">
      <c r="A63" s="201" t="s">
        <v>9</v>
      </c>
      <c r="B63" s="201"/>
      <c r="C63" s="201"/>
      <c r="D63" s="201"/>
      <c r="E63" s="202">
        <f>G48+E57</f>
        <v>145165.0766</v>
      </c>
      <c r="F63" s="202"/>
      <c r="G63" s="202"/>
    </row>
    <row r="64" spans="1:10" s="2" customFormat="1" ht="15">
      <c r="A64" s="35"/>
      <c r="G64" s="9"/>
      <c r="J64" s="2" t="s">
        <v>61</v>
      </c>
    </row>
    <row r="65" s="2" customFormat="1" ht="15">
      <c r="A65" s="35"/>
    </row>
    <row r="66" s="2" customFormat="1" ht="15">
      <c r="A66" s="35"/>
    </row>
    <row r="67" s="2" customFormat="1" ht="15">
      <c r="A67" s="35"/>
    </row>
    <row r="68" spans="1:5" s="2" customFormat="1" ht="15">
      <c r="A68" s="190" t="s">
        <v>32</v>
      </c>
      <c r="B68" s="190"/>
      <c r="E68" s="2" t="s">
        <v>10</v>
      </c>
    </row>
    <row r="69" spans="1:5" s="2" customFormat="1" ht="15">
      <c r="A69" s="190" t="s">
        <v>1</v>
      </c>
      <c r="B69" s="190"/>
      <c r="E69" s="2" t="s">
        <v>176</v>
      </c>
    </row>
    <row r="70" spans="1:5" s="2" customFormat="1" ht="30" customHeight="1">
      <c r="A70" s="198" t="s">
        <v>137</v>
      </c>
      <c r="B70" s="198"/>
      <c r="C70" s="18"/>
      <c r="E70" s="2" t="s">
        <v>179</v>
      </c>
    </row>
    <row r="71" s="2" customFormat="1" ht="15">
      <c r="A71" s="35"/>
    </row>
    <row r="72" s="2" customFormat="1" ht="15">
      <c r="A72" s="35"/>
    </row>
    <row r="73" s="2" customFormat="1" ht="15">
      <c r="A73" s="35"/>
    </row>
    <row r="74" s="2" customFormat="1" ht="15">
      <c r="A74" s="35"/>
    </row>
  </sheetData>
  <sheetProtection/>
  <mergeCells count="17">
    <mergeCell ref="A70:B70"/>
    <mergeCell ref="F50:G50"/>
    <mergeCell ref="A57:C57"/>
    <mergeCell ref="A63:D63"/>
    <mergeCell ref="E63:G63"/>
    <mergeCell ref="A69:B69"/>
    <mergeCell ref="A68:B68"/>
    <mergeCell ref="A32:B32"/>
    <mergeCell ref="B33:G33"/>
    <mergeCell ref="A41:C41"/>
    <mergeCell ref="A49:G49"/>
    <mergeCell ref="B7:H7"/>
    <mergeCell ref="B11:G11"/>
    <mergeCell ref="A1:B1"/>
    <mergeCell ref="A3:E3"/>
    <mergeCell ref="A5:H5"/>
    <mergeCell ref="A6:H6"/>
  </mergeCells>
  <printOptions/>
  <pageMargins left="0.34" right="0.3" top="0.42" bottom="0.51" header="0.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3">
      <selection activeCell="B38" sqref="B38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164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191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f>E15+E17</f>
        <v>8462.99</v>
      </c>
      <c r="F13" s="19"/>
      <c r="G13" s="19">
        <f>G15+G17</f>
        <v>8586.99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8" s="4" customFormat="1" ht="15">
      <c r="A15" s="37"/>
      <c r="B15" s="168" t="s">
        <v>186</v>
      </c>
      <c r="C15" s="126" t="s">
        <v>12</v>
      </c>
      <c r="D15" s="27">
        <v>1</v>
      </c>
      <c r="E15" s="28">
        <v>8462.99</v>
      </c>
      <c r="F15" s="28">
        <v>124</v>
      </c>
      <c r="G15" s="28">
        <f>E15+F15</f>
        <v>8586.99</v>
      </c>
      <c r="H15" s="27"/>
    </row>
    <row r="16" spans="1:8" s="4" customFormat="1" ht="15">
      <c r="A16" s="37"/>
      <c r="B16" s="168" t="s">
        <v>141</v>
      </c>
      <c r="C16" s="126"/>
      <c r="D16" s="27"/>
      <c r="E16" s="28">
        <v>0</v>
      </c>
      <c r="F16" s="28"/>
      <c r="G16" s="28">
        <f>E16</f>
        <v>0</v>
      </c>
      <c r="H16" s="27"/>
    </row>
    <row r="17" spans="1:8" s="4" customFormat="1" ht="15">
      <c r="A17" s="37"/>
      <c r="B17" s="168"/>
      <c r="C17" s="126"/>
      <c r="D17" s="27"/>
      <c r="E17" s="28"/>
      <c r="F17" s="28"/>
      <c r="G17" s="28"/>
      <c r="H17" s="27"/>
    </row>
    <row r="18" spans="1:8" s="2" customFormat="1" ht="30" customHeight="1">
      <c r="A18" s="13" t="s">
        <v>19</v>
      </c>
      <c r="B18" s="118" t="s">
        <v>118</v>
      </c>
      <c r="C18" s="11" t="s">
        <v>12</v>
      </c>
      <c r="D18" s="15">
        <v>1</v>
      </c>
      <c r="E18" s="19">
        <v>2538.9</v>
      </c>
      <c r="F18" s="19">
        <v>189</v>
      </c>
      <c r="G18" s="19">
        <f aca="true" t="shared" si="0" ref="G18:G30">E18+F18</f>
        <v>2727.9</v>
      </c>
      <c r="H18" s="15"/>
    </row>
    <row r="19" spans="1:8" s="2" customFormat="1" ht="15" customHeight="1">
      <c r="A19" s="13" t="s">
        <v>20</v>
      </c>
      <c r="B19" s="122" t="s">
        <v>16</v>
      </c>
      <c r="C19" s="11" t="s">
        <v>12</v>
      </c>
      <c r="D19" s="15">
        <v>1</v>
      </c>
      <c r="E19" s="19">
        <v>611</v>
      </c>
      <c r="F19" s="19"/>
      <c r="G19" s="19">
        <f t="shared" si="0"/>
        <v>611</v>
      </c>
      <c r="H19" s="15"/>
    </row>
    <row r="20" spans="1:8" s="2" customFormat="1" ht="15" customHeight="1">
      <c r="A20" s="13" t="s">
        <v>21</v>
      </c>
      <c r="B20" s="55" t="s">
        <v>68</v>
      </c>
      <c r="C20" s="11"/>
      <c r="D20" s="15">
        <v>1</v>
      </c>
      <c r="E20" s="19">
        <v>2112.22</v>
      </c>
      <c r="F20" s="19"/>
      <c r="G20" s="19">
        <f t="shared" si="0"/>
        <v>2112.22</v>
      </c>
      <c r="H20" s="15"/>
    </row>
    <row r="21" spans="1:8" s="2" customFormat="1" ht="15" customHeight="1">
      <c r="A21" s="13" t="s">
        <v>22</v>
      </c>
      <c r="B21" s="55" t="s">
        <v>69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 customHeight="1">
      <c r="A22" s="13" t="s">
        <v>23</v>
      </c>
      <c r="B22" s="55" t="s">
        <v>72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24</v>
      </c>
      <c r="B23" s="55" t="s">
        <v>70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>
      <c r="A24" s="13" t="s">
        <v>25</v>
      </c>
      <c r="B24" s="122" t="s">
        <v>34</v>
      </c>
      <c r="C24" s="11" t="s">
        <v>12</v>
      </c>
      <c r="D24" s="15">
        <v>1</v>
      </c>
      <c r="E24" s="19"/>
      <c r="F24" s="19"/>
      <c r="G24" s="19">
        <f t="shared" si="0"/>
        <v>0</v>
      </c>
      <c r="H24" s="15"/>
    </row>
    <row r="25" spans="1:8" s="2" customFormat="1" ht="15">
      <c r="A25" s="13" t="s">
        <v>98</v>
      </c>
      <c r="B25" s="122" t="s">
        <v>119</v>
      </c>
      <c r="C25" s="11" t="s">
        <v>12</v>
      </c>
      <c r="D25" s="15">
        <v>1</v>
      </c>
      <c r="E25" s="16">
        <v>1704.78</v>
      </c>
      <c r="F25" s="19">
        <v>350</v>
      </c>
      <c r="G25" s="19">
        <f t="shared" si="0"/>
        <v>2054.7799999999997</v>
      </c>
      <c r="H25" s="15"/>
    </row>
    <row r="26" spans="1:12" s="2" customFormat="1" ht="30">
      <c r="A26" s="13" t="s">
        <v>99</v>
      </c>
      <c r="B26" s="118" t="s">
        <v>120</v>
      </c>
      <c r="C26" s="11" t="s">
        <v>12</v>
      </c>
      <c r="D26" s="15">
        <v>1</v>
      </c>
      <c r="E26" s="16">
        <v>3699.37</v>
      </c>
      <c r="F26" s="19">
        <v>648</v>
      </c>
      <c r="G26" s="19">
        <f t="shared" si="0"/>
        <v>4347.37</v>
      </c>
      <c r="H26" s="15"/>
      <c r="L26" s="9"/>
    </row>
    <row r="27" spans="1:8" s="2" customFormat="1" ht="15">
      <c r="A27" s="13" t="s">
        <v>143</v>
      </c>
      <c r="B27" s="122" t="s">
        <v>121</v>
      </c>
      <c r="C27" s="11" t="s">
        <v>12</v>
      </c>
      <c r="D27" s="15">
        <v>1</v>
      </c>
      <c r="E27" s="16">
        <f>1.68*H11</f>
        <v>6372.072</v>
      </c>
      <c r="F27" s="19"/>
      <c r="G27" s="19">
        <f t="shared" si="0"/>
        <v>6372.072</v>
      </c>
      <c r="H27" s="15"/>
    </row>
    <row r="28" spans="1:8" s="2" customFormat="1" ht="27.75" customHeight="1">
      <c r="A28" s="13" t="s">
        <v>144</v>
      </c>
      <c r="B28" s="144" t="s">
        <v>122</v>
      </c>
      <c r="C28" s="11" t="s">
        <v>12</v>
      </c>
      <c r="D28" s="15">
        <v>1</v>
      </c>
      <c r="E28" s="16">
        <f>2.274*H11</f>
        <v>8625.0546</v>
      </c>
      <c r="F28" s="19"/>
      <c r="G28" s="19">
        <f t="shared" si="0"/>
        <v>8625.0546</v>
      </c>
      <c r="H28" s="15"/>
    </row>
    <row r="29" spans="1:8" s="2" customFormat="1" ht="15">
      <c r="A29" s="13" t="s">
        <v>145</v>
      </c>
      <c r="B29" s="145" t="s">
        <v>103</v>
      </c>
      <c r="C29" s="11" t="s">
        <v>12</v>
      </c>
      <c r="D29" s="15">
        <v>1</v>
      </c>
      <c r="E29" s="16">
        <f>0.4*H11</f>
        <v>1517.16</v>
      </c>
      <c r="F29" s="19"/>
      <c r="G29" s="19">
        <f t="shared" si="0"/>
        <v>1517.16</v>
      </c>
      <c r="H29" s="15"/>
    </row>
    <row r="30" spans="1:8" s="2" customFormat="1" ht="15">
      <c r="A30" s="13" t="s">
        <v>146</v>
      </c>
      <c r="B30" s="145" t="s">
        <v>104</v>
      </c>
      <c r="C30" s="11" t="s">
        <v>12</v>
      </c>
      <c r="D30" s="15">
        <v>1</v>
      </c>
      <c r="E30" s="19">
        <f>0.1*H11</f>
        <v>379.29</v>
      </c>
      <c r="F30" s="19"/>
      <c r="G30" s="19">
        <f t="shared" si="0"/>
        <v>379.29</v>
      </c>
      <c r="H30" s="15"/>
    </row>
    <row r="31" spans="1:10" s="2" customFormat="1" ht="17.25" customHeight="1">
      <c r="A31" s="214" t="s">
        <v>123</v>
      </c>
      <c r="B31" s="215"/>
      <c r="C31" s="146"/>
      <c r="D31" s="29"/>
      <c r="E31" s="30">
        <f>E13+E18+E19+E20+E21+E22+E23+E24+E25+E26+E27+E28+E29+E30</f>
        <v>36022.8366</v>
      </c>
      <c r="F31" s="30">
        <f>F13+F18+F19+F20+F21+F22+F23+F24+F25+F26+F27+F28+F29+F30</f>
        <v>1187</v>
      </c>
      <c r="G31" s="30">
        <f>G13+G18+G19+G20+G21+G22+G23+G24+G25+G26+G27+G28+G29+G30</f>
        <v>37333.8366</v>
      </c>
      <c r="H31" s="29"/>
      <c r="J31" s="9"/>
    </row>
    <row r="32" spans="1:8" s="2" customFormat="1" ht="33.75" customHeight="1">
      <c r="A32" s="143" t="s">
        <v>124</v>
      </c>
      <c r="B32" s="212" t="s">
        <v>125</v>
      </c>
      <c r="C32" s="213"/>
      <c r="D32" s="213"/>
      <c r="E32" s="213"/>
      <c r="F32" s="213"/>
      <c r="G32" s="213"/>
      <c r="H32" s="116"/>
    </row>
    <row r="33" spans="1:8" s="2" customFormat="1" ht="36.75" customHeight="1">
      <c r="A33" s="13" t="s">
        <v>3</v>
      </c>
      <c r="B33" s="11" t="s">
        <v>29</v>
      </c>
      <c r="C33" s="11" t="s">
        <v>5</v>
      </c>
      <c r="D33" s="11" t="s">
        <v>6</v>
      </c>
      <c r="E33" s="12" t="s">
        <v>13</v>
      </c>
      <c r="F33" s="12" t="s">
        <v>28</v>
      </c>
      <c r="G33" s="11" t="s">
        <v>14</v>
      </c>
      <c r="H33" s="11" t="s">
        <v>7</v>
      </c>
    </row>
    <row r="34" spans="1:8" s="2" customFormat="1" ht="30" customHeight="1">
      <c r="A34" s="13" t="s">
        <v>26</v>
      </c>
      <c r="B34" s="118" t="s">
        <v>135</v>
      </c>
      <c r="C34" s="11" t="s">
        <v>12</v>
      </c>
      <c r="D34" s="15">
        <v>1</v>
      </c>
      <c r="E34" s="19">
        <f>E35+E36</f>
        <v>0</v>
      </c>
      <c r="F34" s="19">
        <f>F35+F36</f>
        <v>0</v>
      </c>
      <c r="G34" s="19">
        <f>G35+G36</f>
        <v>0</v>
      </c>
      <c r="H34" s="15"/>
    </row>
    <row r="35" spans="1:8" s="2" customFormat="1" ht="15">
      <c r="A35" s="13"/>
      <c r="B35" s="118"/>
      <c r="C35" s="11"/>
      <c r="D35" s="15"/>
      <c r="E35" s="19"/>
      <c r="F35" s="19"/>
      <c r="G35" s="19">
        <f>E35+F35</f>
        <v>0</v>
      </c>
      <c r="H35" s="15"/>
    </row>
    <row r="36" spans="1:10" s="2" customFormat="1" ht="15">
      <c r="A36" s="13"/>
      <c r="B36" s="118"/>
      <c r="C36" s="11"/>
      <c r="D36" s="15"/>
      <c r="E36" s="19"/>
      <c r="F36" s="19"/>
      <c r="G36" s="19">
        <f>E36+F36</f>
        <v>0</v>
      </c>
      <c r="H36" s="15"/>
      <c r="J36" s="164">
        <f>F31+F40</f>
        <v>1187</v>
      </c>
    </row>
    <row r="37" spans="1:8" s="2" customFormat="1" ht="26.25" customHeight="1">
      <c r="A37" s="13" t="s">
        <v>27</v>
      </c>
      <c r="B37" s="118" t="s">
        <v>136</v>
      </c>
      <c r="C37" s="11" t="s">
        <v>12</v>
      </c>
      <c r="D37" s="15">
        <v>1</v>
      </c>
      <c r="E37" s="19">
        <f>E38+E39</f>
        <v>0</v>
      </c>
      <c r="F37" s="19">
        <v>0</v>
      </c>
      <c r="G37" s="19">
        <f>G38+G39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15">
      <c r="A39" s="158"/>
      <c r="B39" s="159"/>
      <c r="C39" s="160"/>
      <c r="D39" s="15"/>
      <c r="E39" s="19"/>
      <c r="F39" s="19"/>
      <c r="G39" s="19">
        <f>E39+F39</f>
        <v>0</v>
      </c>
      <c r="H39" s="15"/>
    </row>
    <row r="40" spans="1:8" s="2" customFormat="1" ht="24.75" customHeight="1">
      <c r="A40" s="214" t="s">
        <v>127</v>
      </c>
      <c r="B40" s="215"/>
      <c r="C40" s="216"/>
      <c r="D40" s="29"/>
      <c r="E40" s="30">
        <f>E34+E37</f>
        <v>0</v>
      </c>
      <c r="F40" s="30">
        <f>SUM(F34:F37)</f>
        <v>0</v>
      </c>
      <c r="G40" s="30">
        <f>G34+G37</f>
        <v>0</v>
      </c>
      <c r="H40" s="29"/>
    </row>
    <row r="41" s="2" customFormat="1" ht="9.75" customHeight="1">
      <c r="A41" s="35"/>
    </row>
    <row r="42" spans="1:8" s="2" customFormat="1" ht="36.75">
      <c r="A42" s="13" t="s">
        <v>3</v>
      </c>
      <c r="B42" s="11" t="s">
        <v>4</v>
      </c>
      <c r="C42" s="11" t="s">
        <v>5</v>
      </c>
      <c r="D42" s="11" t="s">
        <v>6</v>
      </c>
      <c r="E42" s="12" t="s">
        <v>30</v>
      </c>
      <c r="F42" s="12" t="s">
        <v>28</v>
      </c>
      <c r="G42" s="11" t="s">
        <v>14</v>
      </c>
      <c r="H42" s="11" t="s">
        <v>7</v>
      </c>
    </row>
    <row r="43" spans="1:9" s="2" customFormat="1" ht="15">
      <c r="A43" s="147" t="s">
        <v>128</v>
      </c>
      <c r="B43" s="127" t="s">
        <v>129</v>
      </c>
      <c r="C43" s="22" t="s">
        <v>12</v>
      </c>
      <c r="D43" s="21">
        <v>1</v>
      </c>
      <c r="E43" s="23">
        <v>3626.99</v>
      </c>
      <c r="F43" s="23"/>
      <c r="G43" s="23">
        <f>E43+F43</f>
        <v>3626.99</v>
      </c>
      <c r="H43" s="29"/>
      <c r="I43" s="2" t="s">
        <v>61</v>
      </c>
    </row>
    <row r="44" spans="1:8" s="2" customFormat="1" ht="15">
      <c r="A44" s="147" t="s">
        <v>130</v>
      </c>
      <c r="B44" s="127" t="s">
        <v>15</v>
      </c>
      <c r="C44" s="22" t="s">
        <v>12</v>
      </c>
      <c r="D44" s="21">
        <v>1</v>
      </c>
      <c r="E44" s="23">
        <v>8333.38</v>
      </c>
      <c r="F44" s="23"/>
      <c r="G44" s="23">
        <f>E44+F44</f>
        <v>8333.38</v>
      </c>
      <c r="H44" s="29"/>
    </row>
    <row r="45" spans="1:8" s="2" customFormat="1" ht="15">
      <c r="A45" s="147" t="s">
        <v>107</v>
      </c>
      <c r="B45" s="127" t="s">
        <v>131</v>
      </c>
      <c r="C45" s="22" t="s">
        <v>12</v>
      </c>
      <c r="D45" s="21">
        <v>1</v>
      </c>
      <c r="E45" s="23">
        <v>14529.2</v>
      </c>
      <c r="F45" s="23"/>
      <c r="G45" s="23">
        <f>E45+F45</f>
        <v>14529.2</v>
      </c>
      <c r="H45" s="29"/>
    </row>
    <row r="46" spans="1:7" s="34" customFormat="1" ht="28.5">
      <c r="A46" s="38" t="s">
        <v>132</v>
      </c>
      <c r="B46" s="135" t="s">
        <v>35</v>
      </c>
      <c r="C46" s="33" t="s">
        <v>12</v>
      </c>
      <c r="D46" s="148">
        <v>1</v>
      </c>
      <c r="E46" s="149">
        <v>5490.72</v>
      </c>
      <c r="F46" s="150"/>
      <c r="G46" s="23">
        <f>E46+F46</f>
        <v>5490.72</v>
      </c>
    </row>
    <row r="47" spans="1:8" s="2" customFormat="1" ht="15">
      <c r="A47" s="151"/>
      <c r="B47" s="152" t="s">
        <v>133</v>
      </c>
      <c r="C47" s="153"/>
      <c r="D47" s="154"/>
      <c r="E47" s="155">
        <f>E31+E40+E43+E44+E45+E46</f>
        <v>68003.1266</v>
      </c>
      <c r="F47" s="155">
        <f>F31+F40+F43+F44+F45+F46</f>
        <v>1187</v>
      </c>
      <c r="G47" s="155">
        <f>G31+G40+G43+G44+G45+G46</f>
        <v>69314.1266</v>
      </c>
      <c r="H47" s="29"/>
    </row>
    <row r="48" spans="1:7" s="32" customFormat="1" ht="15" customHeight="1">
      <c r="A48" s="204" t="s">
        <v>108</v>
      </c>
      <c r="B48" s="205"/>
      <c r="C48" s="205"/>
      <c r="D48" s="205"/>
      <c r="E48" s="205"/>
      <c r="F48" s="205"/>
      <c r="G48" s="206"/>
    </row>
    <row r="49" spans="1:7" s="2" customFormat="1" ht="33.75" customHeight="1">
      <c r="A49" s="13" t="s">
        <v>3</v>
      </c>
      <c r="B49" s="11" t="s">
        <v>4</v>
      </c>
      <c r="C49" s="11" t="s">
        <v>5</v>
      </c>
      <c r="D49" s="11" t="s">
        <v>6</v>
      </c>
      <c r="E49" s="12" t="s">
        <v>30</v>
      </c>
      <c r="F49" s="207" t="s">
        <v>31</v>
      </c>
      <c r="G49" s="208"/>
    </row>
    <row r="50" spans="1:7" s="2" customFormat="1" ht="25.5" customHeight="1">
      <c r="A50" s="13"/>
      <c r="B50" s="26" t="s">
        <v>36</v>
      </c>
      <c r="C50" s="22" t="s">
        <v>12</v>
      </c>
      <c r="D50" s="21">
        <v>1</v>
      </c>
      <c r="E50" s="23">
        <v>32100.25</v>
      </c>
      <c r="F50" s="23"/>
      <c r="G50" s="23"/>
    </row>
    <row r="51" spans="1:7" s="2" customFormat="1" ht="15">
      <c r="A51" s="13"/>
      <c r="B51" s="26" t="s">
        <v>37</v>
      </c>
      <c r="C51" s="22" t="s">
        <v>12</v>
      </c>
      <c r="D51" s="21">
        <v>1</v>
      </c>
      <c r="E51" s="23">
        <v>5566.31</v>
      </c>
      <c r="F51" s="23"/>
      <c r="G51" s="23"/>
    </row>
    <row r="52" spans="1:7" s="2" customFormat="1" ht="15">
      <c r="A52" s="13"/>
      <c r="B52" s="26" t="s">
        <v>38</v>
      </c>
      <c r="C52" s="22" t="s">
        <v>12</v>
      </c>
      <c r="D52" s="21">
        <v>1</v>
      </c>
      <c r="E52" s="23">
        <v>18831.44</v>
      </c>
      <c r="F52" s="23"/>
      <c r="G52" s="23"/>
    </row>
    <row r="53" spans="1:7" s="2" customFormat="1" ht="15">
      <c r="A53" s="13"/>
      <c r="B53" s="26" t="s">
        <v>39</v>
      </c>
      <c r="C53" s="22" t="s">
        <v>12</v>
      </c>
      <c r="D53" s="21">
        <v>1</v>
      </c>
      <c r="E53" s="23">
        <v>9137.88</v>
      </c>
      <c r="F53" s="23"/>
      <c r="G53" s="23"/>
    </row>
    <row r="54" spans="1:7" s="2" customFormat="1" ht="15">
      <c r="A54" s="13"/>
      <c r="B54" s="26" t="s">
        <v>40</v>
      </c>
      <c r="C54" s="22" t="s">
        <v>12</v>
      </c>
      <c r="D54" s="15">
        <v>1</v>
      </c>
      <c r="E54" s="23">
        <v>11522.19</v>
      </c>
      <c r="F54" s="20"/>
      <c r="G54" s="19"/>
    </row>
    <row r="55" spans="1:7" s="2" customFormat="1" ht="15">
      <c r="A55" s="13"/>
      <c r="B55" s="14"/>
      <c r="C55" s="22"/>
      <c r="D55" s="21"/>
      <c r="E55" s="23"/>
      <c r="F55" s="23"/>
      <c r="G55" s="23"/>
    </row>
    <row r="56" spans="1:7" s="2" customFormat="1" ht="15">
      <c r="A56" s="209" t="s">
        <v>41</v>
      </c>
      <c r="B56" s="210"/>
      <c r="C56" s="211"/>
      <c r="D56" s="15"/>
      <c r="E56" s="23">
        <f>SUM(E50:E55)</f>
        <v>77158.07</v>
      </c>
      <c r="F56" s="17"/>
      <c r="G56" s="15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="2" customFormat="1" ht="15">
      <c r="A61" s="35"/>
    </row>
    <row r="62" spans="1:7" s="2" customFormat="1" ht="15">
      <c r="A62" s="201" t="s">
        <v>9</v>
      </c>
      <c r="B62" s="201"/>
      <c r="C62" s="201"/>
      <c r="D62" s="201"/>
      <c r="E62" s="202">
        <f>G47+E56</f>
        <v>146472.19660000002</v>
      </c>
      <c r="F62" s="202"/>
      <c r="G62" s="202"/>
    </row>
    <row r="63" spans="1:10" s="2" customFormat="1" ht="15">
      <c r="A63" s="35"/>
      <c r="G63" s="9"/>
      <c r="J63" s="2" t="s">
        <v>61</v>
      </c>
    </row>
    <row r="64" s="2" customFormat="1" ht="15">
      <c r="A64" s="35"/>
    </row>
    <row r="65" s="2" customFormat="1" ht="15">
      <c r="A65" s="35"/>
    </row>
    <row r="66" s="2" customFormat="1" ht="15">
      <c r="A66" s="35"/>
    </row>
    <row r="67" spans="1:5" s="2" customFormat="1" ht="15">
      <c r="A67" s="190" t="s">
        <v>32</v>
      </c>
      <c r="B67" s="190"/>
      <c r="E67" s="2" t="s">
        <v>10</v>
      </c>
    </row>
    <row r="68" spans="1:5" s="2" customFormat="1" ht="15">
      <c r="A68" s="190" t="s">
        <v>1</v>
      </c>
      <c r="B68" s="190"/>
      <c r="E68" s="2" t="s">
        <v>176</v>
      </c>
    </row>
    <row r="69" spans="1:5" s="2" customFormat="1" ht="30" customHeight="1">
      <c r="A69" s="198" t="s">
        <v>137</v>
      </c>
      <c r="B69" s="198"/>
      <c r="C69" s="18"/>
      <c r="E69" s="2" t="s">
        <v>179</v>
      </c>
    </row>
    <row r="70" s="2" customFormat="1" ht="15">
      <c r="A70" s="35"/>
    </row>
    <row r="71" s="2" customFormat="1" ht="15">
      <c r="A71" s="35"/>
    </row>
    <row r="72" s="2" customFormat="1" ht="15">
      <c r="A72" s="35"/>
    </row>
    <row r="73" s="2" customFormat="1" ht="15">
      <c r="A73" s="35"/>
    </row>
  </sheetData>
  <sheetProtection/>
  <mergeCells count="17">
    <mergeCell ref="A69:B69"/>
    <mergeCell ref="F49:G49"/>
    <mergeCell ref="A56:C56"/>
    <mergeCell ref="A62:D62"/>
    <mergeCell ref="E62:G62"/>
    <mergeCell ref="A68:B68"/>
    <mergeCell ref="A67:B67"/>
    <mergeCell ref="A31:B31"/>
    <mergeCell ref="B32:G32"/>
    <mergeCell ref="A40:C40"/>
    <mergeCell ref="A48:G48"/>
    <mergeCell ref="B7:H7"/>
    <mergeCell ref="B11:G11"/>
    <mergeCell ref="A1:B1"/>
    <mergeCell ref="A3:E3"/>
    <mergeCell ref="A5:H5"/>
    <mergeCell ref="A6:H6"/>
  </mergeCells>
  <printOptions/>
  <pageMargins left="0.34" right="0.17" top="0.41" bottom="0.72" header="0.28" footer="0.2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0">
      <selection activeCell="E50" sqref="E50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0" width="9.140625" style="10" customWidth="1"/>
    <col min="11" max="11" width="10.140625" style="10" bestFit="1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165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166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f>E15+E17</f>
        <v>8462.99</v>
      </c>
      <c r="F13" s="19">
        <f>F15+F17</f>
        <v>660</v>
      </c>
      <c r="G13" s="19">
        <f>G15+G17</f>
        <v>9122.99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11" s="4" customFormat="1" ht="15">
      <c r="A15" s="37"/>
      <c r="B15" s="168" t="s">
        <v>186</v>
      </c>
      <c r="C15" s="126" t="s">
        <v>12</v>
      </c>
      <c r="D15" s="27">
        <v>1</v>
      </c>
      <c r="E15" s="28">
        <v>8462.99</v>
      </c>
      <c r="F15" s="28">
        <v>660</v>
      </c>
      <c r="G15" s="28">
        <f>E15+F15</f>
        <v>9122.99</v>
      </c>
      <c r="H15" s="27"/>
      <c r="K15" s="182">
        <f>G13+G18+G19+G20+G24+G26+G27+G28+G29+G30+G25</f>
        <v>36488.7966</v>
      </c>
    </row>
    <row r="16" spans="1:8" s="4" customFormat="1" ht="15">
      <c r="A16" s="37"/>
      <c r="B16" s="168" t="s">
        <v>141</v>
      </c>
      <c r="C16" s="126"/>
      <c r="D16" s="27"/>
      <c r="E16" s="28">
        <v>0</v>
      </c>
      <c r="F16" s="28"/>
      <c r="G16" s="28">
        <f>E16</f>
        <v>0</v>
      </c>
      <c r="H16" s="27"/>
    </row>
    <row r="17" spans="1:8" s="4" customFormat="1" ht="15">
      <c r="A17" s="37"/>
      <c r="B17" s="168"/>
      <c r="C17" s="126"/>
      <c r="D17" s="27"/>
      <c r="E17" s="28"/>
      <c r="F17" s="28"/>
      <c r="G17" s="28"/>
      <c r="H17" s="27"/>
    </row>
    <row r="18" spans="1:8" s="2" customFormat="1" ht="30" customHeight="1">
      <c r="A18" s="13" t="s">
        <v>19</v>
      </c>
      <c r="B18" s="118" t="s">
        <v>118</v>
      </c>
      <c r="C18" s="11" t="s">
        <v>12</v>
      </c>
      <c r="D18" s="15">
        <v>1</v>
      </c>
      <c r="E18" s="19">
        <v>2538.92</v>
      </c>
      <c r="F18" s="19">
        <f>193+126</f>
        <v>319</v>
      </c>
      <c r="G18" s="19">
        <f aca="true" t="shared" si="0" ref="G18:G30">E18+F18</f>
        <v>2857.92</v>
      </c>
      <c r="H18" s="15"/>
    </row>
    <row r="19" spans="1:8" s="2" customFormat="1" ht="15" customHeight="1">
      <c r="A19" s="13" t="s">
        <v>20</v>
      </c>
      <c r="B19" s="122" t="s">
        <v>16</v>
      </c>
      <c r="C19" s="11" t="s">
        <v>12</v>
      </c>
      <c r="D19" s="15">
        <v>1</v>
      </c>
      <c r="E19" s="19">
        <v>611</v>
      </c>
      <c r="F19" s="19"/>
      <c r="G19" s="19">
        <f t="shared" si="0"/>
        <v>611</v>
      </c>
      <c r="H19" s="15"/>
    </row>
    <row r="20" spans="1:8" s="2" customFormat="1" ht="15" customHeight="1">
      <c r="A20" s="13" t="s">
        <v>21</v>
      </c>
      <c r="B20" s="55" t="s">
        <v>68</v>
      </c>
      <c r="C20" s="11"/>
      <c r="D20" s="15">
        <v>1</v>
      </c>
      <c r="E20" s="19">
        <v>677.09</v>
      </c>
      <c r="F20" s="19"/>
      <c r="G20" s="19">
        <f t="shared" si="0"/>
        <v>677.09</v>
      </c>
      <c r="H20" s="15"/>
    </row>
    <row r="21" spans="1:8" s="2" customFormat="1" ht="15" customHeight="1">
      <c r="A21" s="13" t="s">
        <v>22</v>
      </c>
      <c r="B21" s="55" t="s">
        <v>69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 customHeight="1">
      <c r="A22" s="13" t="s">
        <v>23</v>
      </c>
      <c r="B22" s="55" t="s">
        <v>72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24</v>
      </c>
      <c r="B23" s="55" t="s">
        <v>70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>
      <c r="A24" s="13" t="s">
        <v>25</v>
      </c>
      <c r="B24" s="122" t="s">
        <v>34</v>
      </c>
      <c r="C24" s="11" t="s">
        <v>12</v>
      </c>
      <c r="D24" s="15">
        <v>1</v>
      </c>
      <c r="E24" s="19">
        <v>202.07</v>
      </c>
      <c r="F24" s="19"/>
      <c r="G24" s="19">
        <f t="shared" si="0"/>
        <v>202.07</v>
      </c>
      <c r="H24" s="15"/>
    </row>
    <row r="25" spans="1:8" s="2" customFormat="1" ht="15">
      <c r="A25" s="13" t="s">
        <v>98</v>
      </c>
      <c r="B25" s="122" t="s">
        <v>119</v>
      </c>
      <c r="C25" s="11" t="s">
        <v>12</v>
      </c>
      <c r="D25" s="15">
        <v>1</v>
      </c>
      <c r="E25" s="16">
        <v>1704.78</v>
      </c>
      <c r="F25" s="19">
        <v>300</v>
      </c>
      <c r="G25" s="19">
        <f t="shared" si="0"/>
        <v>2004.78</v>
      </c>
      <c r="H25" s="15"/>
    </row>
    <row r="26" spans="1:12" s="2" customFormat="1" ht="30">
      <c r="A26" s="13" t="s">
        <v>99</v>
      </c>
      <c r="B26" s="118" t="s">
        <v>120</v>
      </c>
      <c r="C26" s="11" t="s">
        <v>12</v>
      </c>
      <c r="D26" s="15">
        <v>1</v>
      </c>
      <c r="E26" s="16">
        <v>3699.37</v>
      </c>
      <c r="F26" s="19">
        <v>420</v>
      </c>
      <c r="G26" s="19">
        <f t="shared" si="0"/>
        <v>4119.37</v>
      </c>
      <c r="H26" s="15"/>
      <c r="L26" s="9"/>
    </row>
    <row r="27" spans="1:8" s="2" customFormat="1" ht="15">
      <c r="A27" s="13" t="s">
        <v>143</v>
      </c>
      <c r="B27" s="122" t="s">
        <v>121</v>
      </c>
      <c r="C27" s="11" t="s">
        <v>12</v>
      </c>
      <c r="D27" s="15">
        <v>1</v>
      </c>
      <c r="E27" s="16">
        <f>1.68*H11</f>
        <v>6372.072</v>
      </c>
      <c r="F27" s="19"/>
      <c r="G27" s="19">
        <f t="shared" si="0"/>
        <v>6372.072</v>
      </c>
      <c r="H27" s="15"/>
    </row>
    <row r="28" spans="1:8" s="2" customFormat="1" ht="27.75" customHeight="1">
      <c r="A28" s="13" t="s">
        <v>144</v>
      </c>
      <c r="B28" s="144" t="s">
        <v>122</v>
      </c>
      <c r="C28" s="11" t="s">
        <v>12</v>
      </c>
      <c r="D28" s="15">
        <v>1</v>
      </c>
      <c r="E28" s="16">
        <f>2.274*H11</f>
        <v>8625.0546</v>
      </c>
      <c r="F28" s="19"/>
      <c r="G28" s="19">
        <f t="shared" si="0"/>
        <v>8625.0546</v>
      </c>
      <c r="H28" s="15"/>
    </row>
    <row r="29" spans="1:8" s="2" customFormat="1" ht="15">
      <c r="A29" s="13" t="s">
        <v>145</v>
      </c>
      <c r="B29" s="145" t="s">
        <v>103</v>
      </c>
      <c r="C29" s="11" t="s">
        <v>12</v>
      </c>
      <c r="D29" s="15">
        <v>1</v>
      </c>
      <c r="E29" s="16">
        <f>0.4*H11</f>
        <v>1517.16</v>
      </c>
      <c r="F29" s="19"/>
      <c r="G29" s="19">
        <f t="shared" si="0"/>
        <v>1517.16</v>
      </c>
      <c r="H29" s="15"/>
    </row>
    <row r="30" spans="1:8" s="2" customFormat="1" ht="15">
      <c r="A30" s="13" t="s">
        <v>146</v>
      </c>
      <c r="B30" s="145" t="s">
        <v>104</v>
      </c>
      <c r="C30" s="11" t="s">
        <v>12</v>
      </c>
      <c r="D30" s="15">
        <v>1</v>
      </c>
      <c r="E30" s="19">
        <f>0.1*H11</f>
        <v>379.29</v>
      </c>
      <c r="F30" s="19"/>
      <c r="G30" s="19">
        <f t="shared" si="0"/>
        <v>379.29</v>
      </c>
      <c r="H30" s="15"/>
    </row>
    <row r="31" spans="1:10" s="2" customFormat="1" ht="17.25" customHeight="1">
      <c r="A31" s="214" t="s">
        <v>123</v>
      </c>
      <c r="B31" s="215"/>
      <c r="C31" s="146"/>
      <c r="D31" s="29"/>
      <c r="E31" s="30">
        <f>E13+E18+E19+E20+E21+E22+E23+E24+E25+E26+E27+E28+E29+E30</f>
        <v>34789.79660000001</v>
      </c>
      <c r="F31" s="30">
        <f>F13+F18+F19+F20+F21+F22+F23+F24+F25+F26+F27+F28+F29+F30+F15</f>
        <v>2359</v>
      </c>
      <c r="G31" s="30">
        <f>G13+G18+G19+G20+G21+G22+G23+G24+G25+G26+G27+G28+G29+G30</f>
        <v>36488.79660000001</v>
      </c>
      <c r="H31" s="29"/>
      <c r="J31" s="9"/>
    </row>
    <row r="32" spans="1:8" s="2" customFormat="1" ht="33.75" customHeight="1">
      <c r="A32" s="143" t="s">
        <v>124</v>
      </c>
      <c r="B32" s="212" t="s">
        <v>125</v>
      </c>
      <c r="C32" s="213"/>
      <c r="D32" s="213"/>
      <c r="E32" s="213"/>
      <c r="F32" s="213"/>
      <c r="G32" s="213"/>
      <c r="H32" s="116"/>
    </row>
    <row r="33" spans="1:8" s="2" customFormat="1" ht="36.75" customHeight="1">
      <c r="A33" s="13" t="s">
        <v>3</v>
      </c>
      <c r="B33" s="11" t="s">
        <v>29</v>
      </c>
      <c r="C33" s="11" t="s">
        <v>5</v>
      </c>
      <c r="D33" s="11" t="s">
        <v>6</v>
      </c>
      <c r="E33" s="12" t="s">
        <v>13</v>
      </c>
      <c r="F33" s="12" t="s">
        <v>28</v>
      </c>
      <c r="G33" s="11" t="s">
        <v>14</v>
      </c>
      <c r="H33" s="11" t="s">
        <v>7</v>
      </c>
    </row>
    <row r="34" spans="1:8" s="2" customFormat="1" ht="30" customHeight="1">
      <c r="A34" s="13" t="s">
        <v>26</v>
      </c>
      <c r="B34" s="118" t="s">
        <v>135</v>
      </c>
      <c r="C34" s="11" t="s">
        <v>12</v>
      </c>
      <c r="D34" s="15">
        <v>1</v>
      </c>
      <c r="E34" s="19">
        <f>E35+E36</f>
        <v>49400</v>
      </c>
      <c r="F34" s="19">
        <f>F35+F36</f>
        <v>0</v>
      </c>
      <c r="G34" s="19">
        <f>G35+G36</f>
        <v>49400</v>
      </c>
      <c r="H34" s="15"/>
    </row>
    <row r="35" spans="1:8" s="2" customFormat="1" ht="15">
      <c r="A35" s="13"/>
      <c r="B35" s="118" t="s">
        <v>192</v>
      </c>
      <c r="C35" s="11"/>
      <c r="D35" s="15"/>
      <c r="E35" s="19">
        <v>29400</v>
      </c>
      <c r="F35" s="19"/>
      <c r="G35" s="19">
        <f>E35+F35</f>
        <v>29400</v>
      </c>
      <c r="H35" s="15"/>
    </row>
    <row r="36" spans="1:10" s="2" customFormat="1" ht="15">
      <c r="A36" s="13"/>
      <c r="B36" s="118" t="s">
        <v>193</v>
      </c>
      <c r="C36" s="11"/>
      <c r="D36" s="15"/>
      <c r="E36" s="19">
        <v>20000</v>
      </c>
      <c r="F36" s="19"/>
      <c r="G36" s="19">
        <f>E36+F36</f>
        <v>20000</v>
      </c>
      <c r="H36" s="15"/>
      <c r="J36" s="164">
        <f>F31+F40</f>
        <v>2359</v>
      </c>
    </row>
    <row r="37" spans="1:8" s="2" customFormat="1" ht="26.25" customHeight="1">
      <c r="A37" s="13" t="s">
        <v>27</v>
      </c>
      <c r="B37" s="118" t="s">
        <v>136</v>
      </c>
      <c r="C37" s="11" t="s">
        <v>12</v>
      </c>
      <c r="D37" s="15">
        <v>1</v>
      </c>
      <c r="E37" s="19">
        <f>E38+E39</f>
        <v>0</v>
      </c>
      <c r="F37" s="19">
        <v>0</v>
      </c>
      <c r="G37" s="19">
        <f>G38+G39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15">
      <c r="A39" s="158"/>
      <c r="B39" s="159"/>
      <c r="C39" s="160"/>
      <c r="D39" s="15"/>
      <c r="E39" s="19"/>
      <c r="F39" s="19"/>
      <c r="G39" s="19">
        <f>E39+F39</f>
        <v>0</v>
      </c>
      <c r="H39" s="15"/>
    </row>
    <row r="40" spans="1:8" s="2" customFormat="1" ht="24.75" customHeight="1">
      <c r="A40" s="214" t="s">
        <v>127</v>
      </c>
      <c r="B40" s="215"/>
      <c r="C40" s="216"/>
      <c r="D40" s="29"/>
      <c r="E40" s="30">
        <f>E34+E37</f>
        <v>49400</v>
      </c>
      <c r="F40" s="30">
        <f>SUM(F34:F37)</f>
        <v>0</v>
      </c>
      <c r="G40" s="30">
        <f>G34+G37</f>
        <v>49400</v>
      </c>
      <c r="H40" s="29"/>
    </row>
    <row r="41" s="2" customFormat="1" ht="9.75" customHeight="1">
      <c r="A41" s="35"/>
    </row>
    <row r="42" spans="1:8" s="2" customFormat="1" ht="36.75">
      <c r="A42" s="13" t="s">
        <v>3</v>
      </c>
      <c r="B42" s="11" t="s">
        <v>4</v>
      </c>
      <c r="C42" s="11" t="s">
        <v>5</v>
      </c>
      <c r="D42" s="11" t="s">
        <v>6</v>
      </c>
      <c r="E42" s="12" t="s">
        <v>30</v>
      </c>
      <c r="F42" s="12" t="s">
        <v>28</v>
      </c>
      <c r="G42" s="11" t="s">
        <v>14</v>
      </c>
      <c r="H42" s="11" t="s">
        <v>7</v>
      </c>
    </row>
    <row r="43" spans="1:9" s="2" customFormat="1" ht="15">
      <c r="A43" s="147" t="s">
        <v>128</v>
      </c>
      <c r="B43" s="127" t="s">
        <v>129</v>
      </c>
      <c r="C43" s="22" t="s">
        <v>12</v>
      </c>
      <c r="D43" s="21">
        <v>1</v>
      </c>
      <c r="E43" s="23">
        <v>3626.99</v>
      </c>
      <c r="F43" s="23"/>
      <c r="G43" s="23">
        <f>E43+F43</f>
        <v>3626.99</v>
      </c>
      <c r="H43" s="29"/>
      <c r="I43" s="2" t="s">
        <v>61</v>
      </c>
    </row>
    <row r="44" spans="1:8" s="2" customFormat="1" ht="15">
      <c r="A44" s="147" t="s">
        <v>130</v>
      </c>
      <c r="B44" s="127" t="s">
        <v>15</v>
      </c>
      <c r="C44" s="22" t="s">
        <v>12</v>
      </c>
      <c r="D44" s="21">
        <v>1</v>
      </c>
      <c r="E44" s="23">
        <v>8333.38</v>
      </c>
      <c r="F44" s="23"/>
      <c r="G44" s="23">
        <f>E44+F44</f>
        <v>8333.38</v>
      </c>
      <c r="H44" s="29"/>
    </row>
    <row r="45" spans="1:8" s="2" customFormat="1" ht="15">
      <c r="A45" s="147" t="s">
        <v>107</v>
      </c>
      <c r="B45" s="127" t="s">
        <v>131</v>
      </c>
      <c r="C45" s="22" t="s">
        <v>12</v>
      </c>
      <c r="D45" s="21">
        <v>1</v>
      </c>
      <c r="E45" s="23">
        <v>14529.2</v>
      </c>
      <c r="F45" s="23"/>
      <c r="G45" s="23">
        <f>E45+F45</f>
        <v>14529.2</v>
      </c>
      <c r="H45" s="29"/>
    </row>
    <row r="46" spans="1:7" s="34" customFormat="1" ht="28.5">
      <c r="A46" s="38" t="s">
        <v>132</v>
      </c>
      <c r="B46" s="135" t="s">
        <v>35</v>
      </c>
      <c r="C46" s="33" t="s">
        <v>12</v>
      </c>
      <c r="D46" s="148">
        <v>1</v>
      </c>
      <c r="E46" s="149">
        <v>5490.72</v>
      </c>
      <c r="F46" s="150"/>
      <c r="G46" s="23">
        <f>E46+F46</f>
        <v>5490.72</v>
      </c>
    </row>
    <row r="47" spans="1:8" s="2" customFormat="1" ht="15">
      <c r="A47" s="151"/>
      <c r="B47" s="152" t="s">
        <v>133</v>
      </c>
      <c r="C47" s="153"/>
      <c r="D47" s="154"/>
      <c r="E47" s="155">
        <f>E31+E40+E43+E44+E45+E46</f>
        <v>116170.08660000001</v>
      </c>
      <c r="F47" s="155">
        <f>F31+F40+F43+F44+F45+F46</f>
        <v>2359</v>
      </c>
      <c r="G47" s="155">
        <f>G31+G40+G43+G44+G45+G46</f>
        <v>117869.08660000001</v>
      </c>
      <c r="H47" s="29"/>
    </row>
    <row r="48" spans="1:7" s="32" customFormat="1" ht="15" customHeight="1">
      <c r="A48" s="204" t="s">
        <v>108</v>
      </c>
      <c r="B48" s="205"/>
      <c r="C48" s="205"/>
      <c r="D48" s="205"/>
      <c r="E48" s="205"/>
      <c r="F48" s="205"/>
      <c r="G48" s="206"/>
    </row>
    <row r="49" spans="1:7" s="2" customFormat="1" ht="33.75" customHeight="1">
      <c r="A49" s="13" t="s">
        <v>3</v>
      </c>
      <c r="B49" s="11" t="s">
        <v>4</v>
      </c>
      <c r="C49" s="11" t="s">
        <v>5</v>
      </c>
      <c r="D49" s="11" t="s">
        <v>6</v>
      </c>
      <c r="E49" s="12" t="s">
        <v>30</v>
      </c>
      <c r="F49" s="207" t="s">
        <v>31</v>
      </c>
      <c r="G49" s="208"/>
    </row>
    <row r="50" spans="1:7" s="2" customFormat="1" ht="25.5" customHeight="1">
      <c r="A50" s="13"/>
      <c r="B50" s="26" t="s">
        <v>36</v>
      </c>
      <c r="C50" s="22" t="s">
        <v>12</v>
      </c>
      <c r="D50" s="21">
        <v>1</v>
      </c>
      <c r="E50" s="23">
        <v>35282.65</v>
      </c>
      <c r="F50" s="23"/>
      <c r="G50" s="23"/>
    </row>
    <row r="51" spans="1:7" s="2" customFormat="1" ht="15">
      <c r="A51" s="13"/>
      <c r="B51" s="26" t="s">
        <v>37</v>
      </c>
      <c r="C51" s="22" t="s">
        <v>12</v>
      </c>
      <c r="D51" s="21">
        <v>1</v>
      </c>
      <c r="E51" s="23">
        <v>45742.15</v>
      </c>
      <c r="F51" s="23"/>
      <c r="G51" s="23"/>
    </row>
    <row r="52" spans="1:7" s="2" customFormat="1" ht="15">
      <c r="A52" s="13"/>
      <c r="B52" s="26" t="s">
        <v>38</v>
      </c>
      <c r="C52" s="22" t="s">
        <v>12</v>
      </c>
      <c r="D52" s="21">
        <v>1</v>
      </c>
      <c r="E52" s="23">
        <v>20564.19</v>
      </c>
      <c r="F52" s="23"/>
      <c r="G52" s="23"/>
    </row>
    <row r="53" spans="1:7" s="2" customFormat="1" ht="15">
      <c r="A53" s="13"/>
      <c r="B53" s="26" t="s">
        <v>39</v>
      </c>
      <c r="C53" s="22" t="s">
        <v>12</v>
      </c>
      <c r="D53" s="21">
        <v>1</v>
      </c>
      <c r="E53" s="23">
        <v>8668.4</v>
      </c>
      <c r="F53" s="23"/>
      <c r="G53" s="23"/>
    </row>
    <row r="54" spans="1:7" s="2" customFormat="1" ht="15">
      <c r="A54" s="13"/>
      <c r="B54" s="26" t="s">
        <v>40</v>
      </c>
      <c r="C54" s="22" t="s">
        <v>12</v>
      </c>
      <c r="D54" s="15">
        <v>1</v>
      </c>
      <c r="E54" s="23">
        <v>10205.31</v>
      </c>
      <c r="F54" s="20"/>
      <c r="G54" s="19"/>
    </row>
    <row r="55" spans="1:7" s="2" customFormat="1" ht="15">
      <c r="A55" s="13"/>
      <c r="B55" s="14"/>
      <c r="C55" s="22"/>
      <c r="D55" s="21"/>
      <c r="E55" s="23"/>
      <c r="F55" s="23"/>
      <c r="G55" s="23"/>
    </row>
    <row r="56" spans="1:7" s="2" customFormat="1" ht="15">
      <c r="A56" s="209" t="s">
        <v>41</v>
      </c>
      <c r="B56" s="210"/>
      <c r="C56" s="211"/>
      <c r="D56" s="15"/>
      <c r="E56" s="23">
        <f>SUM(E50:E55)</f>
        <v>120462.7</v>
      </c>
      <c r="F56" s="17"/>
      <c r="G56" s="15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="2" customFormat="1" ht="15">
      <c r="A61" s="35"/>
    </row>
    <row r="62" spans="1:7" s="2" customFormat="1" ht="15">
      <c r="A62" s="201" t="s">
        <v>9</v>
      </c>
      <c r="B62" s="201"/>
      <c r="C62" s="201"/>
      <c r="D62" s="201"/>
      <c r="E62" s="202">
        <f>G47+E56</f>
        <v>238331.7866</v>
      </c>
      <c r="F62" s="202"/>
      <c r="G62" s="202"/>
    </row>
    <row r="63" spans="1:10" s="2" customFormat="1" ht="15">
      <c r="A63" s="35"/>
      <c r="G63" s="9"/>
      <c r="J63" s="2" t="s">
        <v>61</v>
      </c>
    </row>
    <row r="64" s="2" customFormat="1" ht="15">
      <c r="A64" s="35"/>
    </row>
    <row r="65" s="2" customFormat="1" ht="15">
      <c r="A65" s="35"/>
    </row>
    <row r="66" s="2" customFormat="1" ht="15">
      <c r="A66" s="35"/>
    </row>
    <row r="67" spans="1:5" s="2" customFormat="1" ht="15">
      <c r="A67" s="190" t="s">
        <v>32</v>
      </c>
      <c r="B67" s="190"/>
      <c r="E67" s="2" t="s">
        <v>10</v>
      </c>
    </row>
    <row r="68" spans="1:5" s="2" customFormat="1" ht="15">
      <c r="A68" s="190" t="s">
        <v>1</v>
      </c>
      <c r="B68" s="190"/>
      <c r="E68" s="2" t="s">
        <v>176</v>
      </c>
    </row>
    <row r="69" spans="1:5" s="2" customFormat="1" ht="30" customHeight="1">
      <c r="A69" s="198" t="s">
        <v>137</v>
      </c>
      <c r="B69" s="198"/>
      <c r="C69" s="18"/>
      <c r="E69" s="2" t="s">
        <v>179</v>
      </c>
    </row>
    <row r="70" s="2" customFormat="1" ht="15">
      <c r="A70" s="35"/>
    </row>
    <row r="71" s="2" customFormat="1" ht="15">
      <c r="A71" s="35"/>
    </row>
    <row r="72" s="2" customFormat="1" ht="15">
      <c r="A72" s="35"/>
    </row>
    <row r="73" s="2" customFormat="1" ht="15">
      <c r="A73" s="35"/>
    </row>
  </sheetData>
  <sheetProtection/>
  <mergeCells count="17">
    <mergeCell ref="B7:H7"/>
    <mergeCell ref="B11:G11"/>
    <mergeCell ref="A67:B67"/>
    <mergeCell ref="A68:B68"/>
    <mergeCell ref="A31:B31"/>
    <mergeCell ref="B32:G32"/>
    <mergeCell ref="A40:C40"/>
    <mergeCell ref="A48:G48"/>
    <mergeCell ref="A1:B1"/>
    <mergeCell ref="A3:E3"/>
    <mergeCell ref="A5:H5"/>
    <mergeCell ref="A6:H6"/>
    <mergeCell ref="A69:B69"/>
    <mergeCell ref="F49:G49"/>
    <mergeCell ref="A56:C56"/>
    <mergeCell ref="A62:D62"/>
    <mergeCell ref="E62:G62"/>
  </mergeCells>
  <printOptions/>
  <pageMargins left="0.34" right="0.17" top="0.41" bottom="0.47" header="0.28" footer="0.2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0">
      <selection activeCell="O15" sqref="O15:O16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167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168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f>E15+E17</f>
        <v>9735</v>
      </c>
      <c r="F13" s="19"/>
      <c r="G13" s="19">
        <f>G15+G17</f>
        <v>9875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8" s="4" customFormat="1" ht="15">
      <c r="A15" s="37"/>
      <c r="B15" s="168" t="s">
        <v>186</v>
      </c>
      <c r="C15" s="126" t="s">
        <v>12</v>
      </c>
      <c r="D15" s="27">
        <v>1</v>
      </c>
      <c r="E15" s="28">
        <v>9735</v>
      </c>
      <c r="F15" s="28">
        <v>140</v>
      </c>
      <c r="G15" s="28">
        <f>E15+F15</f>
        <v>9875</v>
      </c>
      <c r="H15" s="27"/>
    </row>
    <row r="16" spans="1:8" s="4" customFormat="1" ht="15">
      <c r="A16" s="37"/>
      <c r="B16" s="168" t="s">
        <v>141</v>
      </c>
      <c r="C16" s="126"/>
      <c r="D16" s="27"/>
      <c r="E16" s="28">
        <v>0</v>
      </c>
      <c r="F16" s="28"/>
      <c r="G16" s="28">
        <f>E16</f>
        <v>0</v>
      </c>
      <c r="H16" s="27"/>
    </row>
    <row r="17" spans="1:8" s="4" customFormat="1" ht="15">
      <c r="A17" s="37"/>
      <c r="B17" s="168"/>
      <c r="C17" s="126"/>
      <c r="D17" s="27"/>
      <c r="E17" s="28"/>
      <c r="F17" s="28"/>
      <c r="G17" s="28"/>
      <c r="H17" s="27"/>
    </row>
    <row r="18" spans="1:8" s="2" customFormat="1" ht="30" customHeight="1">
      <c r="A18" s="13" t="s">
        <v>19</v>
      </c>
      <c r="B18" s="118" t="s">
        <v>118</v>
      </c>
      <c r="C18" s="11" t="s">
        <v>12</v>
      </c>
      <c r="D18" s="15">
        <v>1</v>
      </c>
      <c r="E18" s="19">
        <v>2538.9</v>
      </c>
      <c r="F18" s="19">
        <f>195+130</f>
        <v>325</v>
      </c>
      <c r="G18" s="19">
        <f aca="true" t="shared" si="0" ref="G18:G30">E18+F18</f>
        <v>2863.9</v>
      </c>
      <c r="H18" s="15"/>
    </row>
    <row r="19" spans="1:8" s="2" customFormat="1" ht="15" customHeight="1">
      <c r="A19" s="13" t="s">
        <v>20</v>
      </c>
      <c r="B19" s="122" t="s">
        <v>16</v>
      </c>
      <c r="C19" s="11" t="s">
        <v>12</v>
      </c>
      <c r="D19" s="15">
        <v>1</v>
      </c>
      <c r="E19" s="19">
        <v>611</v>
      </c>
      <c r="F19" s="19"/>
      <c r="G19" s="19">
        <f t="shared" si="0"/>
        <v>611</v>
      </c>
      <c r="H19" s="15"/>
    </row>
    <row r="20" spans="1:8" s="2" customFormat="1" ht="15" customHeight="1">
      <c r="A20" s="13" t="s">
        <v>21</v>
      </c>
      <c r="B20" s="55" t="s">
        <v>68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 customHeight="1">
      <c r="A21" s="13" t="s">
        <v>22</v>
      </c>
      <c r="B21" s="55" t="s">
        <v>69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 customHeight="1">
      <c r="A22" s="13" t="s">
        <v>23</v>
      </c>
      <c r="B22" s="55" t="s">
        <v>72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24</v>
      </c>
      <c r="B23" s="55" t="s">
        <v>70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>
      <c r="A24" s="13" t="s">
        <v>25</v>
      </c>
      <c r="B24" s="122" t="s">
        <v>34</v>
      </c>
      <c r="C24" s="11" t="s">
        <v>12</v>
      </c>
      <c r="D24" s="15">
        <v>1</v>
      </c>
      <c r="E24" s="19"/>
      <c r="F24" s="19"/>
      <c r="G24" s="19">
        <f t="shared" si="0"/>
        <v>0</v>
      </c>
      <c r="H24" s="15"/>
    </row>
    <row r="25" spans="1:8" s="2" customFormat="1" ht="15">
      <c r="A25" s="13" t="s">
        <v>98</v>
      </c>
      <c r="B25" s="122" t="s">
        <v>119</v>
      </c>
      <c r="C25" s="11" t="s">
        <v>12</v>
      </c>
      <c r="D25" s="15">
        <v>1</v>
      </c>
      <c r="E25" s="16">
        <v>1704.78</v>
      </c>
      <c r="F25" s="19">
        <v>4360</v>
      </c>
      <c r="G25" s="19">
        <f t="shared" si="0"/>
        <v>6064.78</v>
      </c>
      <c r="H25" s="15"/>
    </row>
    <row r="26" spans="1:12" s="2" customFormat="1" ht="30">
      <c r="A26" s="13" t="s">
        <v>99</v>
      </c>
      <c r="B26" s="118" t="s">
        <v>120</v>
      </c>
      <c r="C26" s="11" t="s">
        <v>12</v>
      </c>
      <c r="D26" s="15">
        <v>1</v>
      </c>
      <c r="E26" s="16">
        <v>3699.37</v>
      </c>
      <c r="F26" s="19">
        <v>45</v>
      </c>
      <c r="G26" s="19">
        <f t="shared" si="0"/>
        <v>3744.37</v>
      </c>
      <c r="H26" s="15"/>
      <c r="L26" s="9"/>
    </row>
    <row r="27" spans="1:8" s="2" customFormat="1" ht="15">
      <c r="A27" s="13" t="s">
        <v>143</v>
      </c>
      <c r="B27" s="122" t="s">
        <v>121</v>
      </c>
      <c r="C27" s="11" t="s">
        <v>12</v>
      </c>
      <c r="D27" s="15">
        <v>1</v>
      </c>
      <c r="E27" s="16">
        <f>1.68*H11</f>
        <v>6372.072</v>
      </c>
      <c r="F27" s="19"/>
      <c r="G27" s="19">
        <f t="shared" si="0"/>
        <v>6372.072</v>
      </c>
      <c r="H27" s="15"/>
    </row>
    <row r="28" spans="1:8" s="2" customFormat="1" ht="27.75" customHeight="1">
      <c r="A28" s="13" t="s">
        <v>144</v>
      </c>
      <c r="B28" s="144" t="s">
        <v>122</v>
      </c>
      <c r="C28" s="11" t="s">
        <v>12</v>
      </c>
      <c r="D28" s="15">
        <v>1</v>
      </c>
      <c r="E28" s="16">
        <f>2.274*H11</f>
        <v>8625.0546</v>
      </c>
      <c r="F28" s="19"/>
      <c r="G28" s="19">
        <f t="shared" si="0"/>
        <v>8625.0546</v>
      </c>
      <c r="H28" s="15"/>
    </row>
    <row r="29" spans="1:8" s="2" customFormat="1" ht="15">
      <c r="A29" s="13" t="s">
        <v>145</v>
      </c>
      <c r="B29" s="145" t="s">
        <v>103</v>
      </c>
      <c r="C29" s="11" t="s">
        <v>12</v>
      </c>
      <c r="D29" s="15">
        <v>1</v>
      </c>
      <c r="E29" s="16">
        <f>0.4*H11</f>
        <v>1517.16</v>
      </c>
      <c r="F29" s="19"/>
      <c r="G29" s="19">
        <f t="shared" si="0"/>
        <v>1517.16</v>
      </c>
      <c r="H29" s="15"/>
    </row>
    <row r="30" spans="1:8" s="2" customFormat="1" ht="15">
      <c r="A30" s="13" t="s">
        <v>146</v>
      </c>
      <c r="B30" s="145" t="s">
        <v>104</v>
      </c>
      <c r="C30" s="11" t="s">
        <v>12</v>
      </c>
      <c r="D30" s="15">
        <v>1</v>
      </c>
      <c r="E30" s="19">
        <f>0.1*H11</f>
        <v>379.29</v>
      </c>
      <c r="F30" s="19"/>
      <c r="G30" s="19">
        <f t="shared" si="0"/>
        <v>379.29</v>
      </c>
      <c r="H30" s="15"/>
    </row>
    <row r="31" spans="1:10" s="2" customFormat="1" ht="17.25" customHeight="1">
      <c r="A31" s="214" t="s">
        <v>123</v>
      </c>
      <c r="B31" s="215"/>
      <c r="C31" s="146"/>
      <c r="D31" s="29"/>
      <c r="E31" s="30">
        <f>E13+E18+E19+E20+E21+E22+E23+E24+E25+E26+E27+E28+E29+E30</f>
        <v>35182.6266</v>
      </c>
      <c r="F31" s="30">
        <f>F15+F18+F19+F20+F21+F22+F23+F24+F25+F26+F27+F28+F29+F30</f>
        <v>4870</v>
      </c>
      <c r="G31" s="30">
        <f>G13+G18+G19+G20+G21+G22+G23+G24+G25+G26+G27+G28+G29+G30</f>
        <v>40052.6266</v>
      </c>
      <c r="H31" s="29"/>
      <c r="J31" s="9"/>
    </row>
    <row r="32" spans="1:8" s="2" customFormat="1" ht="33.75" customHeight="1">
      <c r="A32" s="143" t="s">
        <v>124</v>
      </c>
      <c r="B32" s="212" t="s">
        <v>125</v>
      </c>
      <c r="C32" s="213"/>
      <c r="D32" s="213"/>
      <c r="E32" s="213"/>
      <c r="F32" s="213"/>
      <c r="G32" s="213"/>
      <c r="H32" s="116"/>
    </row>
    <row r="33" spans="1:8" s="2" customFormat="1" ht="36.75" customHeight="1">
      <c r="A33" s="13" t="s">
        <v>3</v>
      </c>
      <c r="B33" s="11" t="s">
        <v>29</v>
      </c>
      <c r="C33" s="11" t="s">
        <v>5</v>
      </c>
      <c r="D33" s="11" t="s">
        <v>6</v>
      </c>
      <c r="E33" s="12" t="s">
        <v>13</v>
      </c>
      <c r="F33" s="12" t="s">
        <v>28</v>
      </c>
      <c r="G33" s="11" t="s">
        <v>14</v>
      </c>
      <c r="H33" s="11" t="s">
        <v>7</v>
      </c>
    </row>
    <row r="34" spans="1:8" s="2" customFormat="1" ht="30" customHeight="1">
      <c r="A34" s="13" t="s">
        <v>26</v>
      </c>
      <c r="B34" s="118" t="s">
        <v>135</v>
      </c>
      <c r="C34" s="11" t="s">
        <v>12</v>
      </c>
      <c r="D34" s="15">
        <v>1</v>
      </c>
      <c r="E34" s="19">
        <f>E35+E36</f>
        <v>0</v>
      </c>
      <c r="F34" s="19">
        <f>F35+F36</f>
        <v>0</v>
      </c>
      <c r="G34" s="19">
        <f>G35+G36</f>
        <v>0</v>
      </c>
      <c r="H34" s="15"/>
    </row>
    <row r="35" spans="1:8" s="2" customFormat="1" ht="15">
      <c r="A35" s="13"/>
      <c r="B35" s="118"/>
      <c r="C35" s="11"/>
      <c r="D35" s="15"/>
      <c r="E35" s="19"/>
      <c r="F35" s="19"/>
      <c r="G35" s="19">
        <f>E35+F35</f>
        <v>0</v>
      </c>
      <c r="H35" s="15"/>
    </row>
    <row r="36" spans="1:10" s="2" customFormat="1" ht="15">
      <c r="A36" s="13"/>
      <c r="B36" s="118"/>
      <c r="C36" s="11"/>
      <c r="D36" s="15"/>
      <c r="E36" s="19"/>
      <c r="F36" s="19"/>
      <c r="G36" s="19">
        <f>E36+F36</f>
        <v>0</v>
      </c>
      <c r="H36" s="15"/>
      <c r="J36" s="164">
        <f>F31+F40</f>
        <v>4870</v>
      </c>
    </row>
    <row r="37" spans="1:8" s="2" customFormat="1" ht="26.25" customHeight="1">
      <c r="A37" s="13" t="s">
        <v>27</v>
      </c>
      <c r="B37" s="118" t="s">
        <v>136</v>
      </c>
      <c r="C37" s="11" t="s">
        <v>12</v>
      </c>
      <c r="D37" s="15">
        <v>1</v>
      </c>
      <c r="E37" s="19">
        <f>E38+E39</f>
        <v>0</v>
      </c>
      <c r="F37" s="19">
        <v>0</v>
      </c>
      <c r="G37" s="19">
        <f>G38+G39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15">
      <c r="A39" s="158"/>
      <c r="B39" s="159"/>
      <c r="C39" s="160"/>
      <c r="D39" s="15"/>
      <c r="E39" s="19"/>
      <c r="F39" s="19"/>
      <c r="G39" s="19">
        <f>E39+F39</f>
        <v>0</v>
      </c>
      <c r="H39" s="15"/>
    </row>
    <row r="40" spans="1:8" s="2" customFormat="1" ht="24.75" customHeight="1">
      <c r="A40" s="214" t="s">
        <v>127</v>
      </c>
      <c r="B40" s="215"/>
      <c r="C40" s="216"/>
      <c r="D40" s="29"/>
      <c r="E40" s="30">
        <f>E34+E37</f>
        <v>0</v>
      </c>
      <c r="F40" s="30">
        <f>SUM(F34:F37)</f>
        <v>0</v>
      </c>
      <c r="G40" s="30">
        <f>G34+G37</f>
        <v>0</v>
      </c>
      <c r="H40" s="29"/>
    </row>
    <row r="41" s="2" customFormat="1" ht="9.75" customHeight="1">
      <c r="A41" s="35"/>
    </row>
    <row r="42" spans="1:8" s="2" customFormat="1" ht="36.75">
      <c r="A42" s="13" t="s">
        <v>3</v>
      </c>
      <c r="B42" s="11" t="s">
        <v>4</v>
      </c>
      <c r="C42" s="11" t="s">
        <v>5</v>
      </c>
      <c r="D42" s="11" t="s">
        <v>6</v>
      </c>
      <c r="E42" s="12" t="s">
        <v>30</v>
      </c>
      <c r="F42" s="12" t="s">
        <v>28</v>
      </c>
      <c r="G42" s="11" t="s">
        <v>14</v>
      </c>
      <c r="H42" s="11" t="s">
        <v>7</v>
      </c>
    </row>
    <row r="43" spans="1:9" s="2" customFormat="1" ht="15">
      <c r="A43" s="147" t="s">
        <v>128</v>
      </c>
      <c r="B43" s="127" t="s">
        <v>129</v>
      </c>
      <c r="C43" s="22" t="s">
        <v>12</v>
      </c>
      <c r="D43" s="21">
        <v>1</v>
      </c>
      <c r="E43" s="23">
        <v>3626.99</v>
      </c>
      <c r="F43" s="23"/>
      <c r="G43" s="23">
        <f>E43+F43</f>
        <v>3626.99</v>
      </c>
      <c r="H43" s="29"/>
      <c r="I43" s="2" t="s">
        <v>61</v>
      </c>
    </row>
    <row r="44" spans="1:8" s="2" customFormat="1" ht="15">
      <c r="A44" s="147" t="s">
        <v>130</v>
      </c>
      <c r="B44" s="127" t="s">
        <v>15</v>
      </c>
      <c r="C44" s="22" t="s">
        <v>12</v>
      </c>
      <c r="D44" s="21">
        <v>1</v>
      </c>
      <c r="E44" s="23">
        <v>8333.38</v>
      </c>
      <c r="F44" s="23"/>
      <c r="G44" s="23">
        <f>E44+F44</f>
        <v>8333.38</v>
      </c>
      <c r="H44" s="29"/>
    </row>
    <row r="45" spans="1:8" s="2" customFormat="1" ht="15">
      <c r="A45" s="147" t="s">
        <v>107</v>
      </c>
      <c r="B45" s="127" t="s">
        <v>131</v>
      </c>
      <c r="C45" s="22" t="s">
        <v>12</v>
      </c>
      <c r="D45" s="21">
        <v>1</v>
      </c>
      <c r="E45" s="23">
        <v>14529.2</v>
      </c>
      <c r="F45" s="23"/>
      <c r="G45" s="23">
        <f>E45+F45</f>
        <v>14529.2</v>
      </c>
      <c r="H45" s="29"/>
    </row>
    <row r="46" spans="1:7" s="34" customFormat="1" ht="28.5">
      <c r="A46" s="38" t="s">
        <v>132</v>
      </c>
      <c r="B46" s="135" t="s">
        <v>35</v>
      </c>
      <c r="C46" s="33" t="s">
        <v>12</v>
      </c>
      <c r="D46" s="148">
        <v>1</v>
      </c>
      <c r="E46" s="149">
        <v>5490.72</v>
      </c>
      <c r="F46" s="150"/>
      <c r="G46" s="23">
        <f>E46+F46</f>
        <v>5490.72</v>
      </c>
    </row>
    <row r="47" spans="1:8" s="2" customFormat="1" ht="15">
      <c r="A47" s="151"/>
      <c r="B47" s="152" t="s">
        <v>133</v>
      </c>
      <c r="C47" s="153"/>
      <c r="D47" s="154"/>
      <c r="E47" s="155">
        <f>E31+E40+E43+E44+E45+E46</f>
        <v>67162.9166</v>
      </c>
      <c r="F47" s="155">
        <f>F31+F40+F43+F44+F45+F46</f>
        <v>4870</v>
      </c>
      <c r="G47" s="155">
        <f>G31+G40+G43+G44+G45+G46</f>
        <v>72032.9166</v>
      </c>
      <c r="H47" s="29"/>
    </row>
    <row r="48" spans="1:7" s="32" customFormat="1" ht="15" customHeight="1">
      <c r="A48" s="204" t="s">
        <v>108</v>
      </c>
      <c r="B48" s="205"/>
      <c r="C48" s="205"/>
      <c r="D48" s="205"/>
      <c r="E48" s="205"/>
      <c r="F48" s="205"/>
      <c r="G48" s="206"/>
    </row>
    <row r="49" spans="1:7" s="2" customFormat="1" ht="33.75" customHeight="1">
      <c r="A49" s="13" t="s">
        <v>3</v>
      </c>
      <c r="B49" s="11" t="s">
        <v>4</v>
      </c>
      <c r="C49" s="11" t="s">
        <v>5</v>
      </c>
      <c r="D49" s="11" t="s">
        <v>6</v>
      </c>
      <c r="E49" s="12" t="s">
        <v>30</v>
      </c>
      <c r="F49" s="207" t="s">
        <v>31</v>
      </c>
      <c r="G49" s="208"/>
    </row>
    <row r="50" spans="1:7" s="2" customFormat="1" ht="25.5" customHeight="1">
      <c r="A50" s="13"/>
      <c r="B50" s="26" t="s">
        <v>36</v>
      </c>
      <c r="C50" s="22" t="s">
        <v>12</v>
      </c>
      <c r="D50" s="21">
        <v>1</v>
      </c>
      <c r="E50" s="23">
        <v>34575.45</v>
      </c>
      <c r="F50" s="23"/>
      <c r="G50" s="23"/>
    </row>
    <row r="51" spans="1:7" s="2" customFormat="1" ht="15">
      <c r="A51" s="13"/>
      <c r="B51" s="26" t="s">
        <v>37</v>
      </c>
      <c r="C51" s="22" t="s">
        <v>12</v>
      </c>
      <c r="D51" s="21">
        <v>1</v>
      </c>
      <c r="E51" s="23">
        <v>62748.16</v>
      </c>
      <c r="F51" s="23"/>
      <c r="G51" s="23"/>
    </row>
    <row r="52" spans="1:7" s="2" customFormat="1" ht="15">
      <c r="A52" s="13"/>
      <c r="B52" s="26" t="s">
        <v>38</v>
      </c>
      <c r="C52" s="22" t="s">
        <v>12</v>
      </c>
      <c r="D52" s="21">
        <v>1</v>
      </c>
      <c r="E52" s="23">
        <v>22177.55</v>
      </c>
      <c r="F52" s="23"/>
      <c r="G52" s="23"/>
    </row>
    <row r="53" spans="1:7" s="2" customFormat="1" ht="15">
      <c r="A53" s="13"/>
      <c r="B53" s="26" t="s">
        <v>39</v>
      </c>
      <c r="C53" s="22" t="s">
        <v>12</v>
      </c>
      <c r="D53" s="21">
        <v>1</v>
      </c>
      <c r="E53" s="23">
        <v>8855.45</v>
      </c>
      <c r="F53" s="23"/>
      <c r="G53" s="23"/>
    </row>
    <row r="54" spans="1:7" s="2" customFormat="1" ht="15">
      <c r="A54" s="13"/>
      <c r="B54" s="26" t="s">
        <v>40</v>
      </c>
      <c r="C54" s="22" t="s">
        <v>12</v>
      </c>
      <c r="D54" s="15">
        <v>1</v>
      </c>
      <c r="E54" s="23">
        <v>11016.76</v>
      </c>
      <c r="F54" s="20"/>
      <c r="G54" s="19"/>
    </row>
    <row r="55" spans="1:7" s="2" customFormat="1" ht="15">
      <c r="A55" s="13"/>
      <c r="B55" s="14"/>
      <c r="C55" s="22"/>
      <c r="D55" s="21"/>
      <c r="E55" s="23"/>
      <c r="F55" s="23"/>
      <c r="G55" s="23"/>
    </row>
    <row r="56" spans="1:7" s="2" customFormat="1" ht="15">
      <c r="A56" s="209" t="s">
        <v>41</v>
      </c>
      <c r="B56" s="210"/>
      <c r="C56" s="211"/>
      <c r="D56" s="15"/>
      <c r="E56" s="23">
        <f>SUM(E50:E55)</f>
        <v>139373.37</v>
      </c>
      <c r="F56" s="17"/>
      <c r="G56" s="15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="2" customFormat="1" ht="15">
      <c r="A61" s="35"/>
    </row>
    <row r="62" spans="1:7" s="2" customFormat="1" ht="15">
      <c r="A62" s="201" t="s">
        <v>9</v>
      </c>
      <c r="B62" s="201"/>
      <c r="C62" s="201"/>
      <c r="D62" s="201"/>
      <c r="E62" s="202">
        <f>G47+E56</f>
        <v>211406.2866</v>
      </c>
      <c r="F62" s="202"/>
      <c r="G62" s="202"/>
    </row>
    <row r="63" spans="1:10" s="2" customFormat="1" ht="15">
      <c r="A63" s="35"/>
      <c r="G63" s="9"/>
      <c r="J63" s="2" t="s">
        <v>61</v>
      </c>
    </row>
    <row r="64" s="2" customFormat="1" ht="15">
      <c r="A64" s="35"/>
    </row>
    <row r="65" s="2" customFormat="1" ht="15">
      <c r="A65" s="35"/>
    </row>
    <row r="66" s="2" customFormat="1" ht="15">
      <c r="A66" s="35"/>
    </row>
    <row r="67" spans="1:5" s="2" customFormat="1" ht="15">
      <c r="A67" s="190" t="s">
        <v>32</v>
      </c>
      <c r="B67" s="190"/>
      <c r="E67" s="2" t="s">
        <v>10</v>
      </c>
    </row>
    <row r="68" spans="1:5" s="2" customFormat="1" ht="15">
      <c r="A68" s="190" t="s">
        <v>1</v>
      </c>
      <c r="B68" s="190"/>
      <c r="E68" s="2" t="s">
        <v>176</v>
      </c>
    </row>
    <row r="69" spans="1:5" s="2" customFormat="1" ht="30" customHeight="1">
      <c r="A69" s="198" t="s">
        <v>137</v>
      </c>
      <c r="B69" s="198"/>
      <c r="C69" s="18"/>
      <c r="E69" s="2" t="s">
        <v>179</v>
      </c>
    </row>
    <row r="70" s="2" customFormat="1" ht="15">
      <c r="A70" s="35"/>
    </row>
    <row r="71" s="2" customFormat="1" ht="15">
      <c r="A71" s="35"/>
    </row>
    <row r="72" s="2" customFormat="1" ht="15">
      <c r="A72" s="35"/>
    </row>
    <row r="73" s="2" customFormat="1" ht="15">
      <c r="A73" s="35"/>
    </row>
  </sheetData>
  <sheetProtection/>
  <mergeCells count="17">
    <mergeCell ref="A69:B69"/>
    <mergeCell ref="F49:G49"/>
    <mergeCell ref="A56:C56"/>
    <mergeCell ref="A62:D62"/>
    <mergeCell ref="E62:G62"/>
    <mergeCell ref="A68:B68"/>
    <mergeCell ref="A67:B67"/>
    <mergeCell ref="A31:B31"/>
    <mergeCell ref="B32:G32"/>
    <mergeCell ref="A40:C40"/>
    <mergeCell ref="A48:G48"/>
    <mergeCell ref="B7:H7"/>
    <mergeCell ref="B11:G11"/>
    <mergeCell ref="A1:B1"/>
    <mergeCell ref="A3:E3"/>
    <mergeCell ref="A5:H5"/>
    <mergeCell ref="A6:H6"/>
  </mergeCells>
  <printOptions/>
  <pageMargins left="0.34" right="0.17" top="0.41" bottom="0.72" header="0.28" footer="0.2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31">
      <selection activeCell="E30" sqref="E30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169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170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f>E15+E17</f>
        <v>10760.11</v>
      </c>
      <c r="F13" s="19"/>
      <c r="G13" s="19">
        <f>G15+G17</f>
        <v>10884.11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8" s="4" customFormat="1" ht="15">
      <c r="A15" s="37"/>
      <c r="B15" s="168" t="s">
        <v>186</v>
      </c>
      <c r="C15" s="126" t="s">
        <v>12</v>
      </c>
      <c r="D15" s="27">
        <v>1</v>
      </c>
      <c r="E15" s="28">
        <v>10760.11</v>
      </c>
      <c r="F15" s="28">
        <v>124</v>
      </c>
      <c r="G15" s="28">
        <f>E15+F15</f>
        <v>10884.11</v>
      </c>
      <c r="H15" s="27"/>
    </row>
    <row r="16" spans="1:8" s="4" customFormat="1" ht="15">
      <c r="A16" s="37"/>
      <c r="B16" s="168" t="s">
        <v>141</v>
      </c>
      <c r="C16" s="126"/>
      <c r="D16" s="27"/>
      <c r="E16" s="28">
        <v>0</v>
      </c>
      <c r="F16" s="28"/>
      <c r="G16" s="28">
        <f>E16</f>
        <v>0</v>
      </c>
      <c r="H16" s="27"/>
    </row>
    <row r="17" spans="1:8" s="4" customFormat="1" ht="15">
      <c r="A17" s="37"/>
      <c r="B17" s="168"/>
      <c r="C17" s="126"/>
      <c r="D17" s="27"/>
      <c r="E17" s="28"/>
      <c r="F17" s="28"/>
      <c r="G17" s="28"/>
      <c r="H17" s="27"/>
    </row>
    <row r="18" spans="1:8" s="2" customFormat="1" ht="30" customHeight="1">
      <c r="A18" s="13" t="s">
        <v>19</v>
      </c>
      <c r="B18" s="118" t="s">
        <v>118</v>
      </c>
      <c r="C18" s="11" t="s">
        <v>12</v>
      </c>
      <c r="D18" s="15">
        <v>1</v>
      </c>
      <c r="E18" s="19">
        <v>2538.9</v>
      </c>
      <c r="F18" s="19">
        <v>269</v>
      </c>
      <c r="G18" s="19">
        <f aca="true" t="shared" si="0" ref="G18:G30">E18+F18</f>
        <v>2807.9</v>
      </c>
      <c r="H18" s="15"/>
    </row>
    <row r="19" spans="1:8" s="2" customFormat="1" ht="15" customHeight="1">
      <c r="A19" s="13" t="s">
        <v>20</v>
      </c>
      <c r="B19" s="122" t="s">
        <v>16</v>
      </c>
      <c r="C19" s="11" t="s">
        <v>12</v>
      </c>
      <c r="D19" s="15">
        <v>1</v>
      </c>
      <c r="E19" s="19">
        <v>611</v>
      </c>
      <c r="F19" s="19"/>
      <c r="G19" s="19">
        <f t="shared" si="0"/>
        <v>611</v>
      </c>
      <c r="H19" s="15"/>
    </row>
    <row r="20" spans="1:8" s="2" customFormat="1" ht="15" customHeight="1">
      <c r="A20" s="13" t="s">
        <v>21</v>
      </c>
      <c r="B20" s="55" t="s">
        <v>68</v>
      </c>
      <c r="C20" s="11"/>
      <c r="D20" s="15">
        <v>1</v>
      </c>
      <c r="E20" s="19">
        <v>5422.62</v>
      </c>
      <c r="F20" s="19"/>
      <c r="G20" s="19">
        <f t="shared" si="0"/>
        <v>5422.62</v>
      </c>
      <c r="H20" s="15"/>
    </row>
    <row r="21" spans="1:8" s="2" customFormat="1" ht="15" customHeight="1">
      <c r="A21" s="13" t="s">
        <v>22</v>
      </c>
      <c r="B21" s="55" t="s">
        <v>69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 customHeight="1">
      <c r="A22" s="13" t="s">
        <v>23</v>
      </c>
      <c r="B22" s="55" t="s">
        <v>72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24</v>
      </c>
      <c r="B23" s="55" t="s">
        <v>70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>
      <c r="A24" s="13" t="s">
        <v>25</v>
      </c>
      <c r="B24" s="122" t="s">
        <v>34</v>
      </c>
      <c r="C24" s="11" t="s">
        <v>12</v>
      </c>
      <c r="D24" s="15">
        <v>1</v>
      </c>
      <c r="E24" s="19">
        <f>754.4+644.56</f>
        <v>1398.96</v>
      </c>
      <c r="F24" s="19"/>
      <c r="G24" s="19">
        <f t="shared" si="0"/>
        <v>1398.96</v>
      </c>
      <c r="H24" s="15"/>
    </row>
    <row r="25" spans="1:8" s="2" customFormat="1" ht="15">
      <c r="A25" s="13" t="s">
        <v>98</v>
      </c>
      <c r="B25" s="122" t="s">
        <v>119</v>
      </c>
      <c r="C25" s="11" t="s">
        <v>12</v>
      </c>
      <c r="D25" s="15">
        <v>1</v>
      </c>
      <c r="E25" s="16">
        <v>1704.78</v>
      </c>
      <c r="F25" s="19"/>
      <c r="G25" s="19">
        <f t="shared" si="0"/>
        <v>1704.78</v>
      </c>
      <c r="H25" s="15"/>
    </row>
    <row r="26" spans="1:12" s="2" customFormat="1" ht="30">
      <c r="A26" s="13" t="s">
        <v>99</v>
      </c>
      <c r="B26" s="118" t="s">
        <v>120</v>
      </c>
      <c r="C26" s="11" t="s">
        <v>12</v>
      </c>
      <c r="D26" s="15">
        <v>1</v>
      </c>
      <c r="E26" s="16">
        <v>3699.37</v>
      </c>
      <c r="F26" s="19">
        <v>2671.9</v>
      </c>
      <c r="G26" s="19">
        <f t="shared" si="0"/>
        <v>6371.27</v>
      </c>
      <c r="H26" s="15"/>
      <c r="L26" s="9"/>
    </row>
    <row r="27" spans="1:8" s="2" customFormat="1" ht="15">
      <c r="A27" s="13" t="s">
        <v>143</v>
      </c>
      <c r="B27" s="122" t="s">
        <v>121</v>
      </c>
      <c r="C27" s="11" t="s">
        <v>12</v>
      </c>
      <c r="D27" s="15">
        <v>1</v>
      </c>
      <c r="E27" s="16">
        <f>1.68*H11</f>
        <v>6372.072</v>
      </c>
      <c r="F27" s="19"/>
      <c r="G27" s="19">
        <f t="shared" si="0"/>
        <v>6372.072</v>
      </c>
      <c r="H27" s="15"/>
    </row>
    <row r="28" spans="1:8" s="2" customFormat="1" ht="27.75" customHeight="1">
      <c r="A28" s="13" t="s">
        <v>144</v>
      </c>
      <c r="B28" s="144" t="s">
        <v>122</v>
      </c>
      <c r="C28" s="11" t="s">
        <v>12</v>
      </c>
      <c r="D28" s="15">
        <v>1</v>
      </c>
      <c r="E28" s="16">
        <f>2.274*H11</f>
        <v>8625.0546</v>
      </c>
      <c r="F28" s="19"/>
      <c r="G28" s="19">
        <f t="shared" si="0"/>
        <v>8625.0546</v>
      </c>
      <c r="H28" s="15"/>
    </row>
    <row r="29" spans="1:8" s="2" customFormat="1" ht="15">
      <c r="A29" s="13" t="s">
        <v>145</v>
      </c>
      <c r="B29" s="145" t="s">
        <v>103</v>
      </c>
      <c r="C29" s="11" t="s">
        <v>12</v>
      </c>
      <c r="D29" s="15">
        <v>1</v>
      </c>
      <c r="E29" s="16">
        <f>0.4*H11</f>
        <v>1517.16</v>
      </c>
      <c r="F29" s="19"/>
      <c r="G29" s="19">
        <f t="shared" si="0"/>
        <v>1517.16</v>
      </c>
      <c r="H29" s="15"/>
    </row>
    <row r="30" spans="1:8" s="2" customFormat="1" ht="15">
      <c r="A30" s="13" t="s">
        <v>146</v>
      </c>
      <c r="B30" s="145" t="s">
        <v>104</v>
      </c>
      <c r="C30" s="11" t="s">
        <v>12</v>
      </c>
      <c r="D30" s="15">
        <v>1</v>
      </c>
      <c r="E30" s="19">
        <f>0.1*H11</f>
        <v>379.29</v>
      </c>
      <c r="F30" s="19"/>
      <c r="G30" s="19">
        <f t="shared" si="0"/>
        <v>379.29</v>
      </c>
      <c r="H30" s="15"/>
    </row>
    <row r="31" spans="1:10" s="2" customFormat="1" ht="17.25" customHeight="1">
      <c r="A31" s="214" t="s">
        <v>123</v>
      </c>
      <c r="B31" s="215"/>
      <c r="C31" s="146"/>
      <c r="D31" s="29"/>
      <c r="E31" s="30">
        <f>E13+E18+E19+E20+E21+E22+E23+E24+E25+E26+E27+E28+E29+E30</f>
        <v>43029.3166</v>
      </c>
      <c r="F31" s="30">
        <f>F13+F18+F19+F20+F21+F22+F23+F24+F25+F26+F27+F28+F29+F30+F15</f>
        <v>3064.9</v>
      </c>
      <c r="G31" s="30">
        <f>G13+G18+G19+G20+G21+G22+G23+G24+G25+G26+G27+G28+G29+G30</f>
        <v>46094.21660000001</v>
      </c>
      <c r="H31" s="29"/>
      <c r="J31" s="9"/>
    </row>
    <row r="32" spans="1:8" s="2" customFormat="1" ht="33.75" customHeight="1">
      <c r="A32" s="143" t="s">
        <v>124</v>
      </c>
      <c r="B32" s="212" t="s">
        <v>125</v>
      </c>
      <c r="C32" s="213"/>
      <c r="D32" s="213"/>
      <c r="E32" s="213"/>
      <c r="F32" s="213"/>
      <c r="G32" s="213"/>
      <c r="H32" s="116"/>
    </row>
    <row r="33" spans="1:8" s="2" customFormat="1" ht="36.75" customHeight="1">
      <c r="A33" s="13" t="s">
        <v>3</v>
      </c>
      <c r="B33" s="11" t="s">
        <v>29</v>
      </c>
      <c r="C33" s="11" t="s">
        <v>5</v>
      </c>
      <c r="D33" s="11" t="s">
        <v>6</v>
      </c>
      <c r="E33" s="12" t="s">
        <v>13</v>
      </c>
      <c r="F33" s="12" t="s">
        <v>28</v>
      </c>
      <c r="G33" s="11" t="s">
        <v>14</v>
      </c>
      <c r="H33" s="11" t="s">
        <v>7</v>
      </c>
    </row>
    <row r="34" spans="1:8" s="2" customFormat="1" ht="30" customHeight="1">
      <c r="A34" s="13" t="s">
        <v>26</v>
      </c>
      <c r="B34" s="118" t="s">
        <v>135</v>
      </c>
      <c r="C34" s="11" t="s">
        <v>12</v>
      </c>
      <c r="D34" s="15">
        <v>1</v>
      </c>
      <c r="E34" s="19">
        <f>E35+E36</f>
        <v>0</v>
      </c>
      <c r="F34" s="19">
        <f>F35+F36</f>
        <v>0</v>
      </c>
      <c r="G34" s="19">
        <f>G35+G36</f>
        <v>0</v>
      </c>
      <c r="H34" s="15"/>
    </row>
    <row r="35" spans="1:8" s="2" customFormat="1" ht="15">
      <c r="A35" s="13"/>
      <c r="B35" s="118"/>
      <c r="C35" s="11"/>
      <c r="D35" s="15"/>
      <c r="E35" s="19"/>
      <c r="F35" s="19"/>
      <c r="G35" s="19">
        <f>E35+F35</f>
        <v>0</v>
      </c>
      <c r="H35" s="15"/>
    </row>
    <row r="36" spans="1:10" s="2" customFormat="1" ht="15">
      <c r="A36" s="13"/>
      <c r="B36" s="118"/>
      <c r="C36" s="11"/>
      <c r="D36" s="15"/>
      <c r="E36" s="19"/>
      <c r="F36" s="19"/>
      <c r="G36" s="19">
        <f>E36+F36</f>
        <v>0</v>
      </c>
      <c r="H36" s="15"/>
      <c r="J36" s="164">
        <f>F31+F40</f>
        <v>3064.9</v>
      </c>
    </row>
    <row r="37" spans="1:8" s="2" customFormat="1" ht="26.25" customHeight="1">
      <c r="A37" s="13" t="s">
        <v>27</v>
      </c>
      <c r="B37" s="118" t="s">
        <v>136</v>
      </c>
      <c r="C37" s="11" t="s">
        <v>12</v>
      </c>
      <c r="D37" s="15">
        <v>1</v>
      </c>
      <c r="E37" s="19">
        <f>E38+E39</f>
        <v>0</v>
      </c>
      <c r="F37" s="19">
        <v>0</v>
      </c>
      <c r="G37" s="19">
        <f>G38+G39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15">
      <c r="A39" s="158"/>
      <c r="B39" s="159"/>
      <c r="C39" s="160"/>
      <c r="D39" s="15"/>
      <c r="E39" s="19"/>
      <c r="F39" s="19"/>
      <c r="G39" s="19">
        <f>E39+F39</f>
        <v>0</v>
      </c>
      <c r="H39" s="15"/>
    </row>
    <row r="40" spans="1:8" s="2" customFormat="1" ht="24.75" customHeight="1">
      <c r="A40" s="214" t="s">
        <v>127</v>
      </c>
      <c r="B40" s="215"/>
      <c r="C40" s="216"/>
      <c r="D40" s="29"/>
      <c r="E40" s="30">
        <f>E34+E37</f>
        <v>0</v>
      </c>
      <c r="F40" s="30">
        <f>SUM(F34:F37)</f>
        <v>0</v>
      </c>
      <c r="G40" s="30">
        <f>G34+G37</f>
        <v>0</v>
      </c>
      <c r="H40" s="29"/>
    </row>
    <row r="41" s="2" customFormat="1" ht="9.75" customHeight="1">
      <c r="A41" s="35"/>
    </row>
    <row r="42" spans="1:8" s="2" customFormat="1" ht="36.75">
      <c r="A42" s="13" t="s">
        <v>3</v>
      </c>
      <c r="B42" s="11" t="s">
        <v>4</v>
      </c>
      <c r="C42" s="11" t="s">
        <v>5</v>
      </c>
      <c r="D42" s="11" t="s">
        <v>6</v>
      </c>
      <c r="E42" s="12" t="s">
        <v>30</v>
      </c>
      <c r="F42" s="12" t="s">
        <v>28</v>
      </c>
      <c r="G42" s="11" t="s">
        <v>14</v>
      </c>
      <c r="H42" s="11" t="s">
        <v>7</v>
      </c>
    </row>
    <row r="43" spans="1:9" s="2" customFormat="1" ht="15">
      <c r="A43" s="147" t="s">
        <v>128</v>
      </c>
      <c r="B43" s="127" t="s">
        <v>129</v>
      </c>
      <c r="C43" s="22" t="s">
        <v>12</v>
      </c>
      <c r="D43" s="21">
        <v>1</v>
      </c>
      <c r="E43" s="23">
        <v>3626.99</v>
      </c>
      <c r="F43" s="23"/>
      <c r="G43" s="23">
        <f>E43+F43</f>
        <v>3626.99</v>
      </c>
      <c r="H43" s="29"/>
      <c r="I43" s="2" t="s">
        <v>61</v>
      </c>
    </row>
    <row r="44" spans="1:8" s="2" customFormat="1" ht="15">
      <c r="A44" s="147" t="s">
        <v>130</v>
      </c>
      <c r="B44" s="127" t="s">
        <v>15</v>
      </c>
      <c r="C44" s="22" t="s">
        <v>12</v>
      </c>
      <c r="D44" s="21">
        <v>1</v>
      </c>
      <c r="E44" s="23">
        <v>8333.38</v>
      </c>
      <c r="F44" s="23"/>
      <c r="G44" s="23">
        <f>E44+F44</f>
        <v>8333.38</v>
      </c>
      <c r="H44" s="29"/>
    </row>
    <row r="45" spans="1:8" s="2" customFormat="1" ht="15">
      <c r="A45" s="147" t="s">
        <v>107</v>
      </c>
      <c r="B45" s="127" t="s">
        <v>131</v>
      </c>
      <c r="C45" s="22" t="s">
        <v>12</v>
      </c>
      <c r="D45" s="21">
        <v>1</v>
      </c>
      <c r="E45" s="23">
        <v>14529.2</v>
      </c>
      <c r="F45" s="23"/>
      <c r="G45" s="23">
        <f>E45+F45</f>
        <v>14529.2</v>
      </c>
      <c r="H45" s="29"/>
    </row>
    <row r="46" spans="1:7" s="34" customFormat="1" ht="28.5">
      <c r="A46" s="38" t="s">
        <v>132</v>
      </c>
      <c r="B46" s="135" t="s">
        <v>35</v>
      </c>
      <c r="C46" s="33" t="s">
        <v>12</v>
      </c>
      <c r="D46" s="148">
        <v>1</v>
      </c>
      <c r="E46" s="149">
        <v>5490.72</v>
      </c>
      <c r="F46" s="150"/>
      <c r="G46" s="23">
        <f>E46+F46</f>
        <v>5490.72</v>
      </c>
    </row>
    <row r="47" spans="1:8" s="2" customFormat="1" ht="15">
      <c r="A47" s="151"/>
      <c r="B47" s="152" t="s">
        <v>133</v>
      </c>
      <c r="C47" s="153"/>
      <c r="D47" s="154"/>
      <c r="E47" s="155">
        <f>E31+E40+E43+E44+E45+E46</f>
        <v>75009.6066</v>
      </c>
      <c r="F47" s="155">
        <f>F31+F40+F43+F44+F45+F46</f>
        <v>3064.9</v>
      </c>
      <c r="G47" s="155">
        <f>G31+G40+G43+G44+G45+G46</f>
        <v>78074.50660000001</v>
      </c>
      <c r="H47" s="29"/>
    </row>
    <row r="48" spans="1:7" s="32" customFormat="1" ht="15" customHeight="1">
      <c r="A48" s="204" t="s">
        <v>108</v>
      </c>
      <c r="B48" s="205"/>
      <c r="C48" s="205"/>
      <c r="D48" s="205"/>
      <c r="E48" s="205"/>
      <c r="F48" s="205"/>
      <c r="G48" s="206"/>
    </row>
    <row r="49" spans="1:7" s="2" customFormat="1" ht="33.75" customHeight="1">
      <c r="A49" s="13" t="s">
        <v>3</v>
      </c>
      <c r="B49" s="11" t="s">
        <v>4</v>
      </c>
      <c r="C49" s="11" t="s">
        <v>5</v>
      </c>
      <c r="D49" s="11" t="s">
        <v>6</v>
      </c>
      <c r="E49" s="12" t="s">
        <v>30</v>
      </c>
      <c r="F49" s="207" t="s">
        <v>31</v>
      </c>
      <c r="G49" s="208"/>
    </row>
    <row r="50" spans="1:7" s="2" customFormat="1" ht="25.5" customHeight="1">
      <c r="A50" s="13"/>
      <c r="B50" s="26" t="s">
        <v>36</v>
      </c>
      <c r="C50" s="22" t="s">
        <v>12</v>
      </c>
      <c r="D50" s="21">
        <v>1</v>
      </c>
      <c r="E50" s="23">
        <v>36785.45</v>
      </c>
      <c r="F50" s="23"/>
      <c r="G50" s="23"/>
    </row>
    <row r="51" spans="1:7" s="2" customFormat="1" ht="15">
      <c r="A51" s="13"/>
      <c r="B51" s="26" t="s">
        <v>37</v>
      </c>
      <c r="C51" s="22" t="s">
        <v>12</v>
      </c>
      <c r="D51" s="21">
        <v>1</v>
      </c>
      <c r="E51" s="23">
        <v>103508.36</v>
      </c>
      <c r="F51" s="23"/>
      <c r="G51" s="23"/>
    </row>
    <row r="52" spans="1:7" s="2" customFormat="1" ht="15">
      <c r="A52" s="13"/>
      <c r="B52" s="26" t="s">
        <v>38</v>
      </c>
      <c r="C52" s="22" t="s">
        <v>12</v>
      </c>
      <c r="D52" s="21">
        <v>1</v>
      </c>
      <c r="E52" s="23">
        <v>21454.76</v>
      </c>
      <c r="F52" s="23"/>
      <c r="G52" s="23"/>
    </row>
    <row r="53" spans="1:7" s="2" customFormat="1" ht="15">
      <c r="A53" s="13"/>
      <c r="B53" s="26" t="s">
        <v>39</v>
      </c>
      <c r="C53" s="22" t="s">
        <v>12</v>
      </c>
      <c r="D53" s="21">
        <v>1</v>
      </c>
      <c r="E53" s="23">
        <v>8231.28</v>
      </c>
      <c r="F53" s="23"/>
      <c r="G53" s="23"/>
    </row>
    <row r="54" spans="1:7" s="2" customFormat="1" ht="15">
      <c r="A54" s="13"/>
      <c r="B54" s="26" t="s">
        <v>40</v>
      </c>
      <c r="C54" s="22" t="s">
        <v>12</v>
      </c>
      <c r="D54" s="15">
        <v>1</v>
      </c>
      <c r="E54" s="23">
        <v>10430.49</v>
      </c>
      <c r="F54" s="20"/>
      <c r="G54" s="19"/>
    </row>
    <row r="55" spans="1:7" s="2" customFormat="1" ht="15">
      <c r="A55" s="13"/>
      <c r="B55" s="14"/>
      <c r="C55" s="22"/>
      <c r="D55" s="21"/>
      <c r="E55" s="23"/>
      <c r="F55" s="23"/>
      <c r="G55" s="23"/>
    </row>
    <row r="56" spans="1:7" s="2" customFormat="1" ht="15">
      <c r="A56" s="209" t="s">
        <v>41</v>
      </c>
      <c r="B56" s="210"/>
      <c r="C56" s="211"/>
      <c r="D56" s="15"/>
      <c r="E56" s="23">
        <f>SUM(E50:E55)</f>
        <v>180410.34</v>
      </c>
      <c r="F56" s="17"/>
      <c r="G56" s="15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="2" customFormat="1" ht="15">
      <c r="A61" s="35"/>
    </row>
    <row r="62" spans="1:7" s="2" customFormat="1" ht="15">
      <c r="A62" s="201" t="s">
        <v>9</v>
      </c>
      <c r="B62" s="201"/>
      <c r="C62" s="201"/>
      <c r="D62" s="201"/>
      <c r="E62" s="202">
        <f>G47+E56</f>
        <v>258484.8466</v>
      </c>
      <c r="F62" s="202"/>
      <c r="G62" s="202"/>
    </row>
    <row r="63" spans="1:10" s="2" customFormat="1" ht="15">
      <c r="A63" s="35"/>
      <c r="G63" s="9"/>
      <c r="J63" s="2" t="s">
        <v>61</v>
      </c>
    </row>
    <row r="64" s="2" customFormat="1" ht="15">
      <c r="A64" s="35"/>
    </row>
    <row r="65" s="2" customFormat="1" ht="15">
      <c r="A65" s="35"/>
    </row>
    <row r="66" s="2" customFormat="1" ht="15">
      <c r="A66" s="35"/>
    </row>
    <row r="67" spans="1:5" s="2" customFormat="1" ht="15">
      <c r="A67" s="190" t="s">
        <v>32</v>
      </c>
      <c r="B67" s="190"/>
      <c r="E67" s="2" t="s">
        <v>10</v>
      </c>
    </row>
    <row r="68" spans="1:5" s="2" customFormat="1" ht="15">
      <c r="A68" s="190" t="s">
        <v>1</v>
      </c>
      <c r="B68" s="190"/>
      <c r="E68" s="2" t="s">
        <v>176</v>
      </c>
    </row>
    <row r="69" spans="1:5" s="2" customFormat="1" ht="30" customHeight="1">
      <c r="A69" s="198" t="s">
        <v>137</v>
      </c>
      <c r="B69" s="198"/>
      <c r="C69" s="18"/>
      <c r="E69" s="2" t="s">
        <v>179</v>
      </c>
    </row>
    <row r="70" s="2" customFormat="1" ht="15">
      <c r="A70" s="35"/>
    </row>
    <row r="71" s="2" customFormat="1" ht="15">
      <c r="A71" s="35"/>
    </row>
    <row r="72" s="2" customFormat="1" ht="15">
      <c r="A72" s="35"/>
    </row>
    <row r="73" s="2" customFormat="1" ht="15">
      <c r="A73" s="35"/>
    </row>
  </sheetData>
  <sheetProtection/>
  <mergeCells count="17">
    <mergeCell ref="B7:H7"/>
    <mergeCell ref="B11:G11"/>
    <mergeCell ref="A67:B67"/>
    <mergeCell ref="A68:B68"/>
    <mergeCell ref="A31:B31"/>
    <mergeCell ref="B32:G32"/>
    <mergeCell ref="A40:C40"/>
    <mergeCell ref="A48:G48"/>
    <mergeCell ref="A1:B1"/>
    <mergeCell ref="A3:E3"/>
    <mergeCell ref="A5:H5"/>
    <mergeCell ref="A6:H6"/>
    <mergeCell ref="A69:B69"/>
    <mergeCell ref="F49:G49"/>
    <mergeCell ref="A56:C56"/>
    <mergeCell ref="A62:D62"/>
    <mergeCell ref="E62:G62"/>
  </mergeCells>
  <printOptions/>
  <pageMargins left="0.34" right="0.17" top="0.41" bottom="0.72" header="0.2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B1">
      <pane xSplit="2" ySplit="2" topLeftCell="D64" activePane="bottomRight" state="frozen"/>
      <selection pane="topLeft" activeCell="B1" sqref="B1"/>
      <selection pane="topRight" activeCell="D1" sqref="D1"/>
      <selection pane="bottomLeft" activeCell="B3" sqref="B3"/>
      <selection pane="bottomRight" activeCell="T49" sqref="T49"/>
    </sheetView>
  </sheetViews>
  <sheetFormatPr defaultColWidth="9.140625" defaultRowHeight="15"/>
  <cols>
    <col min="1" max="1" width="4.00390625" style="101" customWidth="1"/>
    <col min="2" max="2" width="46.421875" style="101" customWidth="1"/>
    <col min="3" max="3" width="12.421875" style="101" customWidth="1"/>
    <col min="4" max="4" width="12.00390625" style="101" customWidth="1"/>
    <col min="5" max="7" width="10.8515625" style="101" bestFit="1" customWidth="1"/>
    <col min="8" max="8" width="12.140625" style="101" bestFit="1" customWidth="1"/>
    <col min="9" max="9" width="10.8515625" style="101" bestFit="1" customWidth="1"/>
    <col min="10" max="10" width="11.57421875" style="101" customWidth="1"/>
    <col min="11" max="11" width="11.57421875" style="101" bestFit="1" customWidth="1"/>
    <col min="12" max="12" width="11.421875" style="101" bestFit="1" customWidth="1"/>
    <col min="13" max="13" width="10.8515625" style="101" bestFit="1" customWidth="1"/>
    <col min="14" max="14" width="13.140625" style="101" customWidth="1"/>
    <col min="15" max="15" width="14.00390625" style="101" customWidth="1"/>
    <col min="16" max="16" width="12.8515625" style="101" customWidth="1"/>
    <col min="17" max="17" width="13.57421875" style="101" bestFit="1" customWidth="1"/>
    <col min="18" max="18" width="13.00390625" style="101" bestFit="1" customWidth="1"/>
    <col min="19" max="19" width="13.140625" style="100" bestFit="1" customWidth="1"/>
    <col min="20" max="20" width="13.00390625" style="101" bestFit="1" customWidth="1"/>
    <col min="21" max="21" width="12.421875" style="101" bestFit="1" customWidth="1"/>
    <col min="22" max="22" width="10.57421875" style="101" bestFit="1" customWidth="1"/>
    <col min="23" max="23" width="9.140625" style="101" customWidth="1"/>
    <col min="24" max="24" width="11.00390625" style="101" bestFit="1" customWidth="1"/>
    <col min="25" max="25" width="9.140625" style="101" customWidth="1"/>
    <col min="26" max="26" width="10.57421875" style="101" bestFit="1" customWidth="1"/>
    <col min="27" max="16384" width="9.140625" style="101" customWidth="1"/>
  </cols>
  <sheetData>
    <row r="1" spans="2:19" s="40" customFormat="1" ht="20.25" customHeight="1">
      <c r="B1" s="193" t="s">
        <v>139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41"/>
    </row>
    <row r="2" spans="2:19" s="42" customFormat="1" ht="51">
      <c r="B2" s="43"/>
      <c r="C2" s="44" t="s">
        <v>140</v>
      </c>
      <c r="D2" s="45" t="s">
        <v>43</v>
      </c>
      <c r="E2" s="45" t="s">
        <v>44</v>
      </c>
      <c r="F2" s="45" t="s">
        <v>45</v>
      </c>
      <c r="G2" s="45" t="s">
        <v>46</v>
      </c>
      <c r="H2" s="45" t="s">
        <v>47</v>
      </c>
      <c r="I2" s="45" t="s">
        <v>48</v>
      </c>
      <c r="J2" s="45" t="s">
        <v>49</v>
      </c>
      <c r="K2" s="45" t="s">
        <v>50</v>
      </c>
      <c r="L2" s="45" t="s">
        <v>51</v>
      </c>
      <c r="M2" s="45" t="s">
        <v>52</v>
      </c>
      <c r="N2" s="45" t="s">
        <v>53</v>
      </c>
      <c r="O2" s="45" t="s">
        <v>54</v>
      </c>
      <c r="P2" s="142" t="s">
        <v>55</v>
      </c>
      <c r="Q2" s="44" t="s">
        <v>56</v>
      </c>
      <c r="R2" s="44" t="s">
        <v>57</v>
      </c>
      <c r="S2" s="46"/>
    </row>
    <row r="3" spans="2:19" s="47" customFormat="1" ht="15.75">
      <c r="B3" s="48" t="s">
        <v>58</v>
      </c>
      <c r="C3" s="49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1"/>
      <c r="P3" s="51"/>
      <c r="Q3" s="52"/>
      <c r="S3" s="53"/>
    </row>
    <row r="4" spans="2:19" s="54" customFormat="1" ht="15.75">
      <c r="B4" s="55" t="s">
        <v>112</v>
      </c>
      <c r="C4" s="56"/>
      <c r="D4" s="56"/>
      <c r="E4" s="56"/>
      <c r="F4" s="56"/>
      <c r="G4" s="56"/>
      <c r="H4" s="56">
        <v>37841.4</v>
      </c>
      <c r="I4" s="56">
        <v>37950.92</v>
      </c>
      <c r="J4" s="56">
        <v>37207.97</v>
      </c>
      <c r="K4" s="56">
        <v>37856.54</v>
      </c>
      <c r="L4" s="56">
        <v>37833.92</v>
      </c>
      <c r="M4" s="56">
        <v>37856.54</v>
      </c>
      <c r="N4" s="56">
        <v>37760.32</v>
      </c>
      <c r="O4" s="56">
        <v>37811.9</v>
      </c>
      <c r="P4" s="57">
        <f aca="true" t="shared" si="0" ref="P4:P9">SUM(D4:O4)</f>
        <v>302119.51</v>
      </c>
      <c r="Q4" s="57">
        <v>245003.62</v>
      </c>
      <c r="R4" s="56">
        <f aca="true" t="shared" si="1" ref="R4:R9">C4+P4-Q4</f>
        <v>57115.890000000014</v>
      </c>
      <c r="S4" s="58"/>
    </row>
    <row r="5" spans="2:19" s="54" customFormat="1" ht="15.75">
      <c r="B5" s="55" t="s">
        <v>172</v>
      </c>
      <c r="C5" s="56"/>
      <c r="D5" s="56"/>
      <c r="E5" s="56"/>
      <c r="F5" s="56"/>
      <c r="G5" s="56"/>
      <c r="H5" s="56">
        <v>305.1</v>
      </c>
      <c r="I5" s="56">
        <v>267.35</v>
      </c>
      <c r="J5" s="56">
        <v>302.69</v>
      </c>
      <c r="K5" s="56">
        <v>305.26</v>
      </c>
      <c r="L5" s="56">
        <v>305.26</v>
      </c>
      <c r="M5" s="56">
        <v>305.26</v>
      </c>
      <c r="N5" s="57">
        <v>304.48</v>
      </c>
      <c r="O5" s="57">
        <v>304.9</v>
      </c>
      <c r="P5" s="57">
        <f t="shared" si="0"/>
        <v>2400.3</v>
      </c>
      <c r="Q5" s="57">
        <v>1929.91</v>
      </c>
      <c r="R5" s="56">
        <f t="shared" si="1"/>
        <v>470.3900000000001</v>
      </c>
      <c r="S5" s="58"/>
    </row>
    <row r="6" spans="2:19" s="54" customFormat="1" ht="15.75">
      <c r="B6" s="55" t="s">
        <v>173</v>
      </c>
      <c r="C6" s="56"/>
      <c r="D6" s="56"/>
      <c r="E6" s="56"/>
      <c r="F6" s="56"/>
      <c r="G6" s="56"/>
      <c r="H6" s="56"/>
      <c r="I6" s="56">
        <v>381.85</v>
      </c>
      <c r="J6" s="56">
        <v>381.39</v>
      </c>
      <c r="K6" s="56">
        <v>381.62</v>
      </c>
      <c r="L6" s="56">
        <v>381.62</v>
      </c>
      <c r="M6" s="56">
        <v>381.62</v>
      </c>
      <c r="N6" s="57">
        <v>380.65</v>
      </c>
      <c r="O6" s="57">
        <v>381.17</v>
      </c>
      <c r="P6" s="57">
        <f t="shared" si="0"/>
        <v>2669.92</v>
      </c>
      <c r="Q6" s="57">
        <v>2094.67</v>
      </c>
      <c r="R6" s="56">
        <f t="shared" si="1"/>
        <v>575.25</v>
      </c>
      <c r="S6" s="58"/>
    </row>
    <row r="7" spans="2:19" s="54" customFormat="1" ht="15.75">
      <c r="B7" s="55" t="s">
        <v>174</v>
      </c>
      <c r="C7" s="56"/>
      <c r="D7" s="56"/>
      <c r="E7" s="56"/>
      <c r="F7" s="56"/>
      <c r="G7" s="56"/>
      <c r="H7" s="56">
        <v>915.49</v>
      </c>
      <c r="I7" s="56">
        <v>801.95</v>
      </c>
      <c r="J7" s="56">
        <v>742.96</v>
      </c>
      <c r="K7" s="56">
        <v>839.59</v>
      </c>
      <c r="L7" s="56">
        <v>833.79</v>
      </c>
      <c r="M7" s="56">
        <v>833.79</v>
      </c>
      <c r="N7" s="57">
        <v>837.46</v>
      </c>
      <c r="O7" s="57">
        <v>838.6</v>
      </c>
      <c r="P7" s="57">
        <f t="shared" si="0"/>
        <v>6643.630000000001</v>
      </c>
      <c r="Q7" s="57">
        <v>5774.89</v>
      </c>
      <c r="R7" s="56">
        <f t="shared" si="1"/>
        <v>868.7400000000007</v>
      </c>
      <c r="S7" s="58"/>
    </row>
    <row r="8" spans="2:19" s="54" customFormat="1" ht="15.75">
      <c r="B8" s="55" t="s">
        <v>175</v>
      </c>
      <c r="C8" s="56"/>
      <c r="D8" s="56"/>
      <c r="E8" s="56"/>
      <c r="F8" s="56"/>
      <c r="G8" s="56"/>
      <c r="H8" s="56">
        <v>5989.06</v>
      </c>
      <c r="I8" s="56">
        <v>10615.29</v>
      </c>
      <c r="J8" s="56">
        <v>10805.17</v>
      </c>
      <c r="K8" s="56">
        <v>6942.2</v>
      </c>
      <c r="L8" s="56">
        <v>9498.32</v>
      </c>
      <c r="M8" s="57">
        <v>-15188.37</v>
      </c>
      <c r="N8" s="57">
        <v>7611.18</v>
      </c>
      <c r="O8" s="57">
        <v>-4878.91</v>
      </c>
      <c r="P8" s="57">
        <f t="shared" si="0"/>
        <v>31393.94</v>
      </c>
      <c r="Q8" s="57">
        <v>41327.07</v>
      </c>
      <c r="R8" s="56">
        <f t="shared" si="1"/>
        <v>-9933.130000000001</v>
      </c>
      <c r="S8" s="58"/>
    </row>
    <row r="9" spans="2:19" s="54" customFormat="1" ht="15.75">
      <c r="B9" s="55" t="s">
        <v>142</v>
      </c>
      <c r="C9" s="56"/>
      <c r="D9" s="56"/>
      <c r="E9" s="56"/>
      <c r="F9" s="56"/>
      <c r="G9" s="56"/>
      <c r="H9" s="56">
        <v>13351.28</v>
      </c>
      <c r="I9" s="56">
        <v>13364.62</v>
      </c>
      <c r="J9" s="56">
        <v>13195.59</v>
      </c>
      <c r="K9" s="56">
        <v>13356.64</v>
      </c>
      <c r="L9" s="56">
        <v>13338.66</v>
      </c>
      <c r="M9" s="56">
        <v>13356.64</v>
      </c>
      <c r="N9" s="57">
        <v>13322.69</v>
      </c>
      <c r="O9" s="57">
        <v>13340.89</v>
      </c>
      <c r="P9" s="57">
        <f t="shared" si="0"/>
        <v>106627.01000000001</v>
      </c>
      <c r="Q9" s="57">
        <v>86351.13</v>
      </c>
      <c r="R9" s="56">
        <f t="shared" si="1"/>
        <v>20275.880000000005</v>
      </c>
      <c r="S9" s="58"/>
    </row>
    <row r="10" spans="2:19" s="54" customFormat="1" ht="15.75">
      <c r="B10" s="55" t="s">
        <v>59</v>
      </c>
      <c r="C10" s="56"/>
      <c r="D10" s="56"/>
      <c r="E10" s="56"/>
      <c r="F10" s="56"/>
      <c r="G10" s="56"/>
      <c r="H10" s="56">
        <v>4692.06</v>
      </c>
      <c r="I10" s="56">
        <v>4696.72</v>
      </c>
      <c r="J10" s="56">
        <v>4591.64</v>
      </c>
      <c r="K10" s="56">
        <v>4693.92</v>
      </c>
      <c r="L10" s="56">
        <v>4691.12</v>
      </c>
      <c r="M10" s="56">
        <v>4693.92</v>
      </c>
      <c r="N10" s="56">
        <v>4681.98</v>
      </c>
      <c r="O10" s="56">
        <v>4688.38</v>
      </c>
      <c r="P10" s="57">
        <f aca="true" t="shared" si="2" ref="P10:P30">SUM(D10:O10)</f>
        <v>37429.740000000005</v>
      </c>
      <c r="Q10" s="57">
        <v>30685.8</v>
      </c>
      <c r="R10" s="56">
        <f aca="true" t="shared" si="3" ref="R10:R30">C10+P10-Q10</f>
        <v>6743.940000000006</v>
      </c>
      <c r="S10" s="58"/>
    </row>
    <row r="11" spans="2:19" s="54" customFormat="1" ht="15.75">
      <c r="B11" s="55" t="s">
        <v>111</v>
      </c>
      <c r="C11" s="56"/>
      <c r="D11" s="56"/>
      <c r="E11" s="56"/>
      <c r="F11" s="56"/>
      <c r="G11" s="56"/>
      <c r="H11" s="56">
        <v>8392.23</v>
      </c>
      <c r="I11" s="56">
        <v>8400.62</v>
      </c>
      <c r="J11" s="56">
        <v>8268.44</v>
      </c>
      <c r="K11" s="56">
        <v>8395.6</v>
      </c>
      <c r="L11" s="56">
        <v>8390.6</v>
      </c>
      <c r="M11" s="56">
        <v>8395.6</v>
      </c>
      <c r="N11" s="56">
        <v>8374.26</v>
      </c>
      <c r="O11" s="56">
        <v>8385.7</v>
      </c>
      <c r="P11" s="57">
        <f t="shared" si="2"/>
        <v>67003.05</v>
      </c>
      <c r="Q11" s="57">
        <f>107.8+54321.37</f>
        <v>54429.170000000006</v>
      </c>
      <c r="R11" s="56">
        <f>C11+P11-Q11</f>
        <v>12573.879999999997</v>
      </c>
      <c r="S11" s="58"/>
    </row>
    <row r="12" spans="2:19" s="54" customFormat="1" ht="15.75">
      <c r="B12" s="55" t="s">
        <v>60</v>
      </c>
      <c r="C12" s="56"/>
      <c r="D12" s="56"/>
      <c r="E12" s="56"/>
      <c r="F12" s="56"/>
      <c r="G12" s="56"/>
      <c r="H12" s="56">
        <v>14915.25</v>
      </c>
      <c r="I12" s="56">
        <v>14967.9</v>
      </c>
      <c r="J12" s="56">
        <v>14416.53</v>
      </c>
      <c r="K12" s="56">
        <v>14956.66</v>
      </c>
      <c r="L12" s="56">
        <v>14945.42</v>
      </c>
      <c r="M12" s="56">
        <v>14956.66</v>
      </c>
      <c r="N12" s="56">
        <v>14908.83</v>
      </c>
      <c r="O12" s="56">
        <v>14934.47</v>
      </c>
      <c r="P12" s="57">
        <f t="shared" si="2"/>
        <v>119001.72</v>
      </c>
      <c r="Q12" s="57">
        <v>95014.89</v>
      </c>
      <c r="R12" s="56">
        <f t="shared" si="3"/>
        <v>23986.83</v>
      </c>
      <c r="S12" s="58"/>
    </row>
    <row r="13" spans="2:19" s="54" customFormat="1" ht="15.75">
      <c r="B13" s="55" t="s">
        <v>195</v>
      </c>
      <c r="C13" s="56"/>
      <c r="D13" s="56"/>
      <c r="E13" s="56"/>
      <c r="F13" s="56"/>
      <c r="G13" s="56"/>
      <c r="H13" s="56"/>
      <c r="I13" s="56"/>
      <c r="J13" s="56"/>
      <c r="K13" s="56">
        <v>500</v>
      </c>
      <c r="L13" s="56">
        <v>500</v>
      </c>
      <c r="M13" s="56">
        <v>500</v>
      </c>
      <c r="N13" s="56">
        <v>500</v>
      </c>
      <c r="O13" s="56">
        <v>500</v>
      </c>
      <c r="P13" s="57">
        <f t="shared" si="2"/>
        <v>2500</v>
      </c>
      <c r="Q13" s="57">
        <v>2000</v>
      </c>
      <c r="R13" s="56">
        <f t="shared" si="3"/>
        <v>500</v>
      </c>
      <c r="S13" s="58"/>
    </row>
    <row r="14" spans="2:19" s="54" customFormat="1" ht="15.75">
      <c r="B14" s="55" t="s">
        <v>62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7"/>
      <c r="P14" s="57">
        <f t="shared" si="2"/>
        <v>0</v>
      </c>
      <c r="Q14" s="57"/>
      <c r="R14" s="56">
        <f t="shared" si="3"/>
        <v>0</v>
      </c>
      <c r="S14" s="58"/>
    </row>
    <row r="15" spans="2:21" s="54" customFormat="1" ht="15.75">
      <c r="B15" s="55" t="s">
        <v>63</v>
      </c>
      <c r="C15" s="56"/>
      <c r="D15" s="56"/>
      <c r="E15" s="56"/>
      <c r="F15" s="56"/>
      <c r="G15" s="56"/>
      <c r="H15" s="56">
        <v>300</v>
      </c>
      <c r="I15" s="56">
        <v>300</v>
      </c>
      <c r="J15" s="56">
        <v>300</v>
      </c>
      <c r="K15" s="56">
        <f>300</f>
        <v>300</v>
      </c>
      <c r="L15" s="56">
        <f>300</f>
        <v>300</v>
      </c>
      <c r="M15" s="56">
        <v>5633</v>
      </c>
      <c r="N15" s="56">
        <v>5633</v>
      </c>
      <c r="O15" s="56">
        <v>5634</v>
      </c>
      <c r="P15" s="57">
        <f t="shared" si="2"/>
        <v>18400</v>
      </c>
      <c r="Q15" s="56">
        <v>2100</v>
      </c>
      <c r="R15" s="56">
        <f t="shared" si="3"/>
        <v>16300</v>
      </c>
      <c r="S15" s="58"/>
      <c r="U15" s="58"/>
    </row>
    <row r="16" spans="2:21" s="54" customFormat="1" ht="15.75">
      <c r="B16" s="141">
        <v>0.15</v>
      </c>
      <c r="C16" s="56"/>
      <c r="D16" s="56">
        <f aca="true" t="shared" si="4" ref="D16:I16">-(D15+D13)*15%</f>
        <v>0</v>
      </c>
      <c r="E16" s="56">
        <f t="shared" si="4"/>
        <v>0</v>
      </c>
      <c r="F16" s="56">
        <f t="shared" si="4"/>
        <v>0</v>
      </c>
      <c r="G16" s="56">
        <f t="shared" si="4"/>
        <v>0</v>
      </c>
      <c r="H16" s="56">
        <f t="shared" si="4"/>
        <v>-45</v>
      </c>
      <c r="I16" s="56">
        <f t="shared" si="4"/>
        <v>-45</v>
      </c>
      <c r="J16" s="56">
        <f aca="true" t="shared" si="5" ref="J16:O16">-(J15+J13)*15%</f>
        <v>-45</v>
      </c>
      <c r="K16" s="56">
        <f t="shared" si="5"/>
        <v>-120</v>
      </c>
      <c r="L16" s="56">
        <f t="shared" si="5"/>
        <v>-120</v>
      </c>
      <c r="M16" s="56">
        <f t="shared" si="5"/>
        <v>-919.9499999999999</v>
      </c>
      <c r="N16" s="56">
        <f t="shared" si="5"/>
        <v>-919.9499999999999</v>
      </c>
      <c r="O16" s="56">
        <f t="shared" si="5"/>
        <v>-920.1</v>
      </c>
      <c r="P16" s="57">
        <f t="shared" si="2"/>
        <v>-3134.9999999999995</v>
      </c>
      <c r="Q16" s="56"/>
      <c r="R16" s="56">
        <f t="shared" si="3"/>
        <v>-3134.9999999999995</v>
      </c>
      <c r="S16" s="58"/>
      <c r="U16" s="58"/>
    </row>
    <row r="17" spans="2:19" s="59" customFormat="1" ht="15.75">
      <c r="B17" s="60" t="s">
        <v>109</v>
      </c>
      <c r="C17" s="61"/>
      <c r="D17" s="61">
        <f>SUM(D4:D16)</f>
        <v>0</v>
      </c>
      <c r="E17" s="61">
        <f aca="true" t="shared" si="6" ref="E17:Q17">SUM(E4:E16)</f>
        <v>0</v>
      </c>
      <c r="F17" s="61">
        <f t="shared" si="6"/>
        <v>0</v>
      </c>
      <c r="G17" s="61">
        <f t="shared" si="6"/>
        <v>0</v>
      </c>
      <c r="H17" s="61">
        <f t="shared" si="6"/>
        <v>86656.87</v>
      </c>
      <c r="I17" s="61">
        <f t="shared" si="6"/>
        <v>91702.21999999999</v>
      </c>
      <c r="J17" s="61">
        <f t="shared" si="6"/>
        <v>90167.38</v>
      </c>
      <c r="K17" s="61">
        <f t="shared" si="6"/>
        <v>88408.03</v>
      </c>
      <c r="L17" s="61">
        <f t="shared" si="6"/>
        <v>90898.71</v>
      </c>
      <c r="M17" s="61">
        <f t="shared" si="6"/>
        <v>70804.71</v>
      </c>
      <c r="N17" s="61">
        <f t="shared" si="6"/>
        <v>93394.90000000001</v>
      </c>
      <c r="O17" s="61">
        <f t="shared" si="6"/>
        <v>81021</v>
      </c>
      <c r="P17" s="64">
        <f t="shared" si="2"/>
        <v>693053.8200000001</v>
      </c>
      <c r="Q17" s="61">
        <f t="shared" si="6"/>
        <v>566711.15</v>
      </c>
      <c r="R17" s="61">
        <f t="shared" si="3"/>
        <v>126342.67000000004</v>
      </c>
      <c r="S17" s="62"/>
    </row>
    <row r="18" spans="2:19" s="54" customFormat="1" ht="15.75">
      <c r="B18" s="60"/>
      <c r="C18" s="56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57"/>
      <c r="O18" s="57"/>
      <c r="P18" s="57"/>
      <c r="Q18" s="57"/>
      <c r="R18" s="56"/>
      <c r="S18" s="58"/>
    </row>
    <row r="19" spans="2:21" s="54" customFormat="1" ht="15.75">
      <c r="B19" s="191" t="s">
        <v>67</v>
      </c>
      <c r="C19" s="192"/>
      <c r="D19" s="66"/>
      <c r="E19" s="66"/>
      <c r="F19" s="66"/>
      <c r="G19" s="66"/>
      <c r="H19" s="66"/>
      <c r="I19" s="66"/>
      <c r="J19" s="180"/>
      <c r="K19" s="67"/>
      <c r="L19" s="67"/>
      <c r="M19" s="67"/>
      <c r="N19" s="67"/>
      <c r="O19" s="67"/>
      <c r="P19" s="57"/>
      <c r="Q19" s="67"/>
      <c r="R19" s="56"/>
      <c r="S19" s="68"/>
      <c r="T19" s="69">
        <f>Q19/2895.2/12</f>
        <v>0</v>
      </c>
      <c r="U19" s="69">
        <f>24.93-23.25</f>
        <v>1.6799999999999997</v>
      </c>
    </row>
    <row r="20" spans="2:19" s="54" customFormat="1" ht="15.75">
      <c r="B20" s="55" t="s">
        <v>39</v>
      </c>
      <c r="C20" s="56"/>
      <c r="D20" s="56"/>
      <c r="E20" s="56"/>
      <c r="F20" s="56"/>
      <c r="G20" s="56"/>
      <c r="H20" s="56">
        <v>7844.26</v>
      </c>
      <c r="I20" s="57">
        <v>10020.37</v>
      </c>
      <c r="J20" s="56">
        <v>28528.85</v>
      </c>
      <c r="K20" s="178">
        <v>-157797.4</v>
      </c>
      <c r="L20" s="57">
        <v>8057.17</v>
      </c>
      <c r="M20" s="57">
        <v>8250.17</v>
      </c>
      <c r="N20" s="57">
        <v>173143.84</v>
      </c>
      <c r="O20" s="57">
        <v>7875.98</v>
      </c>
      <c r="P20" s="57">
        <f t="shared" si="2"/>
        <v>85923.23999999999</v>
      </c>
      <c r="Q20" s="57">
        <v>50419.59</v>
      </c>
      <c r="R20" s="56">
        <f t="shared" si="3"/>
        <v>35503.649999999994</v>
      </c>
      <c r="S20" s="58"/>
    </row>
    <row r="21" spans="2:19" s="54" customFormat="1" ht="15.75">
      <c r="B21" s="55" t="s">
        <v>68</v>
      </c>
      <c r="C21" s="56"/>
      <c r="D21" s="56"/>
      <c r="E21" s="56"/>
      <c r="F21" s="56"/>
      <c r="G21" s="56"/>
      <c r="H21" s="56"/>
      <c r="I21" s="57"/>
      <c r="J21" s="56"/>
      <c r="K21" s="178"/>
      <c r="L21" s="57"/>
      <c r="M21" s="57"/>
      <c r="N21" s="57"/>
      <c r="O21" s="57"/>
      <c r="P21" s="57">
        <f t="shared" si="2"/>
        <v>0</v>
      </c>
      <c r="Q21" s="57"/>
      <c r="R21" s="56">
        <f t="shared" si="3"/>
        <v>0</v>
      </c>
      <c r="S21" s="58"/>
    </row>
    <row r="22" spans="2:19" s="54" customFormat="1" ht="15.75">
      <c r="B22" s="55" t="s">
        <v>40</v>
      </c>
      <c r="C22" s="56"/>
      <c r="D22" s="56"/>
      <c r="E22" s="56"/>
      <c r="F22" s="56"/>
      <c r="G22" s="56"/>
      <c r="H22" s="56">
        <v>9450.47</v>
      </c>
      <c r="I22" s="57">
        <v>11528.89</v>
      </c>
      <c r="J22" s="56">
        <v>34498.38</v>
      </c>
      <c r="K22" s="178">
        <v>-120537.69</v>
      </c>
      <c r="L22" s="57">
        <v>9838.26</v>
      </c>
      <c r="M22" s="57">
        <v>9810.06</v>
      </c>
      <c r="N22" s="57">
        <v>138509.07</v>
      </c>
      <c r="O22" s="57">
        <v>8901.76</v>
      </c>
      <c r="P22" s="57">
        <f t="shared" si="2"/>
        <v>101999.2</v>
      </c>
      <c r="Q22" s="57">
        <v>57463.49</v>
      </c>
      <c r="R22" s="56">
        <f t="shared" si="3"/>
        <v>44535.71</v>
      </c>
      <c r="S22" s="58"/>
    </row>
    <row r="23" spans="2:19" s="54" customFormat="1" ht="15.75">
      <c r="B23" s="55" t="s">
        <v>69</v>
      </c>
      <c r="C23" s="56"/>
      <c r="D23" s="56"/>
      <c r="E23" s="56"/>
      <c r="F23" s="56"/>
      <c r="G23" s="56"/>
      <c r="H23" s="56"/>
      <c r="I23" s="57"/>
      <c r="J23" s="56"/>
      <c r="K23" s="178"/>
      <c r="L23" s="57"/>
      <c r="M23" s="57"/>
      <c r="N23" s="57"/>
      <c r="O23" s="57"/>
      <c r="P23" s="57">
        <f t="shared" si="2"/>
        <v>0</v>
      </c>
      <c r="Q23" s="57"/>
      <c r="R23" s="56">
        <f t="shared" si="3"/>
        <v>0</v>
      </c>
      <c r="S23" s="58"/>
    </row>
    <row r="24" spans="2:19" s="54" customFormat="1" ht="15.75">
      <c r="B24" s="55" t="s">
        <v>36</v>
      </c>
      <c r="C24" s="56"/>
      <c r="D24" s="56"/>
      <c r="E24" s="56"/>
      <c r="F24" s="56"/>
      <c r="G24" s="56"/>
      <c r="H24" s="56">
        <v>28222.5</v>
      </c>
      <c r="I24" s="57">
        <v>28215.68</v>
      </c>
      <c r="J24" s="56">
        <v>27999.11</v>
      </c>
      <c r="K24" s="178">
        <v>22230.51</v>
      </c>
      <c r="L24" s="57">
        <v>29542.22</v>
      </c>
      <c r="M24" s="57">
        <v>28259.69</v>
      </c>
      <c r="N24" s="57">
        <v>34544.38</v>
      </c>
      <c r="O24" s="57">
        <v>30798.56</v>
      </c>
      <c r="P24" s="57">
        <f t="shared" si="2"/>
        <v>229812.65000000002</v>
      </c>
      <c r="Q24" s="57">
        <f>178858.72+204.22</f>
        <v>179062.94</v>
      </c>
      <c r="R24" s="56">
        <f t="shared" si="3"/>
        <v>50749.71000000002</v>
      </c>
      <c r="S24" s="58"/>
    </row>
    <row r="25" spans="2:19" s="54" customFormat="1" ht="15.75">
      <c r="B25" s="55" t="s">
        <v>70</v>
      </c>
      <c r="C25" s="56"/>
      <c r="D25" s="56"/>
      <c r="E25" s="56"/>
      <c r="F25" s="56"/>
      <c r="G25" s="56"/>
      <c r="H25" s="56"/>
      <c r="I25" s="57"/>
      <c r="J25" s="56"/>
      <c r="K25" s="178"/>
      <c r="L25" s="57"/>
      <c r="M25" s="57"/>
      <c r="N25" s="57"/>
      <c r="O25" s="57"/>
      <c r="P25" s="57">
        <f t="shared" si="2"/>
        <v>0</v>
      </c>
      <c r="Q25" s="57"/>
      <c r="R25" s="56">
        <f t="shared" si="3"/>
        <v>0</v>
      </c>
      <c r="S25" s="58"/>
    </row>
    <row r="26" spans="2:19" s="54" customFormat="1" ht="15.75">
      <c r="B26" s="55" t="s">
        <v>71</v>
      </c>
      <c r="C26" s="56"/>
      <c r="D26" s="56"/>
      <c r="E26" s="56"/>
      <c r="F26" s="56"/>
      <c r="G26" s="56"/>
      <c r="H26" s="56">
        <v>23548.96</v>
      </c>
      <c r="I26" s="57"/>
      <c r="J26" s="56">
        <v>-2280.4</v>
      </c>
      <c r="K26" s="179"/>
      <c r="L26" s="56">
        <v>5623.76</v>
      </c>
      <c r="M26" s="56">
        <v>46244.89</v>
      </c>
      <c r="N26" s="57">
        <v>63438.57</v>
      </c>
      <c r="O26" s="57">
        <v>103508.09</v>
      </c>
      <c r="P26" s="57">
        <f t="shared" si="2"/>
        <v>240083.87</v>
      </c>
      <c r="Q26" s="57">
        <v>127898.87</v>
      </c>
      <c r="R26" s="56">
        <f t="shared" si="3"/>
        <v>112185</v>
      </c>
      <c r="S26" s="58"/>
    </row>
    <row r="27" spans="2:19" s="54" customFormat="1" ht="15.75">
      <c r="B27" s="55" t="s">
        <v>38</v>
      </c>
      <c r="C27" s="56"/>
      <c r="D27" s="56"/>
      <c r="E27" s="56"/>
      <c r="F27" s="56"/>
      <c r="G27" s="56"/>
      <c r="H27" s="56">
        <v>18170.41</v>
      </c>
      <c r="I27" s="57">
        <v>20820.06</v>
      </c>
      <c r="J27" s="56">
        <v>67165.08</v>
      </c>
      <c r="K27" s="178">
        <v>-62468.66</v>
      </c>
      <c r="L27" s="57">
        <v>19234.12</v>
      </c>
      <c r="M27" s="57">
        <v>18545.58</v>
      </c>
      <c r="N27" s="57">
        <v>93189.62</v>
      </c>
      <c r="O27" s="57">
        <v>15686.07</v>
      </c>
      <c r="P27" s="57">
        <f t="shared" si="2"/>
        <v>190342.28</v>
      </c>
      <c r="Q27" s="57">
        <f>99473.88+59.8</f>
        <v>99533.68000000001</v>
      </c>
      <c r="R27" s="56">
        <f t="shared" si="3"/>
        <v>90808.59999999999</v>
      </c>
      <c r="S27" s="58"/>
    </row>
    <row r="28" spans="2:19" s="54" customFormat="1" ht="16.5" customHeight="1">
      <c r="B28" s="55" t="s">
        <v>72</v>
      </c>
      <c r="C28" s="56"/>
      <c r="D28" s="56"/>
      <c r="E28" s="56"/>
      <c r="F28" s="56"/>
      <c r="G28" s="56"/>
      <c r="H28" s="56"/>
      <c r="I28" s="56"/>
      <c r="J28" s="181"/>
      <c r="K28" s="57"/>
      <c r="L28" s="57"/>
      <c r="M28" s="57"/>
      <c r="N28" s="57"/>
      <c r="O28" s="57"/>
      <c r="P28" s="57">
        <f t="shared" si="2"/>
        <v>0</v>
      </c>
      <c r="Q28" s="57"/>
      <c r="R28" s="56">
        <f t="shared" si="3"/>
        <v>0</v>
      </c>
      <c r="S28" s="58"/>
    </row>
    <row r="29" spans="2:19" s="59" customFormat="1" ht="15.75">
      <c r="B29" s="60" t="s">
        <v>75</v>
      </c>
      <c r="C29" s="61">
        <f>C20+C22+C24+C26+C27+C28+C23+C25+C21</f>
        <v>0</v>
      </c>
      <c r="D29" s="61">
        <f aca="true" t="shared" si="7" ref="D29:O29">D20+D22+D24+D26+D27+D28+D23+D25+D21</f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61">
        <f t="shared" si="7"/>
        <v>87236.6</v>
      </c>
      <c r="I29" s="61">
        <f t="shared" si="7"/>
        <v>70585</v>
      </c>
      <c r="J29" s="61">
        <f t="shared" si="7"/>
        <v>155911.02000000002</v>
      </c>
      <c r="K29" s="61">
        <f t="shared" si="7"/>
        <v>-318573.24</v>
      </c>
      <c r="L29" s="61">
        <f t="shared" si="7"/>
        <v>72295.53</v>
      </c>
      <c r="M29" s="61">
        <f t="shared" si="7"/>
        <v>111110.39</v>
      </c>
      <c r="N29" s="61">
        <f>N20+N22+N24+N26+N27+N28+N23+N25+N21</f>
        <v>502825.48000000004</v>
      </c>
      <c r="O29" s="61">
        <f t="shared" si="7"/>
        <v>166770.46000000002</v>
      </c>
      <c r="P29" s="64">
        <f t="shared" si="2"/>
        <v>848161.24</v>
      </c>
      <c r="Q29" s="61">
        <f>SUM(Q20:Q28)</f>
        <v>514378.57</v>
      </c>
      <c r="R29" s="61">
        <f t="shared" si="3"/>
        <v>333782.67</v>
      </c>
      <c r="S29" s="62"/>
    </row>
    <row r="30" spans="2:19" s="59" customFormat="1" ht="15.75">
      <c r="B30" s="60" t="s">
        <v>76</v>
      </c>
      <c r="C30" s="61">
        <f aca="true" t="shared" si="8" ref="C30:O30">C29+C17</f>
        <v>0</v>
      </c>
      <c r="D30" s="61">
        <f t="shared" si="8"/>
        <v>0</v>
      </c>
      <c r="E30" s="61">
        <f t="shared" si="8"/>
        <v>0</v>
      </c>
      <c r="F30" s="61">
        <f t="shared" si="8"/>
        <v>0</v>
      </c>
      <c r="G30" s="61">
        <f t="shared" si="8"/>
        <v>0</v>
      </c>
      <c r="H30" s="61">
        <f t="shared" si="8"/>
        <v>173893.47</v>
      </c>
      <c r="I30" s="61">
        <f t="shared" si="8"/>
        <v>162287.21999999997</v>
      </c>
      <c r="J30" s="61">
        <f t="shared" si="8"/>
        <v>246078.40000000002</v>
      </c>
      <c r="K30" s="61">
        <f t="shared" si="8"/>
        <v>-230165.21</v>
      </c>
      <c r="L30" s="61">
        <f t="shared" si="8"/>
        <v>163194.24</v>
      </c>
      <c r="M30" s="61">
        <f t="shared" si="8"/>
        <v>181915.1</v>
      </c>
      <c r="N30" s="61">
        <f t="shared" si="8"/>
        <v>596220.38</v>
      </c>
      <c r="O30" s="61">
        <f t="shared" si="8"/>
        <v>247791.46000000002</v>
      </c>
      <c r="P30" s="64">
        <f t="shared" si="2"/>
        <v>1541215.06</v>
      </c>
      <c r="Q30" s="61">
        <f>Q29+Q17</f>
        <v>1081089.72</v>
      </c>
      <c r="R30" s="61">
        <f t="shared" si="3"/>
        <v>460125.3400000001</v>
      </c>
      <c r="S30" s="62"/>
    </row>
    <row r="31" spans="2:19" s="59" customFormat="1" ht="1.5" customHeight="1">
      <c r="B31" s="63" t="s">
        <v>64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 t="e">
        <f>#REF!+#REF!</f>
        <v>#REF!</v>
      </c>
      <c r="R31" s="61"/>
      <c r="S31" s="62"/>
    </row>
    <row r="32" spans="2:19" s="59" customFormat="1" ht="15.75" hidden="1">
      <c r="B32" s="63" t="s">
        <v>65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 t="e">
        <f>#REF!</f>
        <v>#REF!</v>
      </c>
      <c r="R32" s="61"/>
      <c r="S32" s="62"/>
    </row>
    <row r="33" spans="2:19" s="59" customFormat="1" ht="15.75" hidden="1">
      <c r="B33" s="65" t="s">
        <v>66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 t="e">
        <f>#REF!+#REF!</f>
        <v>#REF!</v>
      </c>
      <c r="R33" s="70"/>
      <c r="S33" s="62"/>
    </row>
    <row r="34" spans="2:19" s="59" customFormat="1" ht="15.7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62"/>
    </row>
    <row r="35" spans="1:19" s="75" customFormat="1" ht="17.25" customHeight="1">
      <c r="A35" s="73"/>
      <c r="B35" s="194" t="s">
        <v>147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6"/>
      <c r="S35" s="74"/>
    </row>
    <row r="36" spans="1:19" s="75" customFormat="1" ht="17.25" customHeight="1">
      <c r="A36" s="76"/>
      <c r="B36" s="197" t="s">
        <v>58</v>
      </c>
      <c r="C36" s="197"/>
      <c r="D36" s="77"/>
      <c r="E36" s="77"/>
      <c r="F36" s="77"/>
      <c r="G36" s="77"/>
      <c r="H36" s="77"/>
      <c r="I36" s="166"/>
      <c r="J36" s="167"/>
      <c r="K36" s="167"/>
      <c r="L36" s="78"/>
      <c r="M36" s="78"/>
      <c r="N36" s="78"/>
      <c r="O36" s="78"/>
      <c r="P36" s="78"/>
      <c r="Q36" s="74"/>
      <c r="R36" s="79"/>
      <c r="S36" s="74"/>
    </row>
    <row r="37" spans="1:19" s="83" customFormat="1" ht="51.75">
      <c r="A37" s="80" t="s">
        <v>77</v>
      </c>
      <c r="B37" s="81" t="s">
        <v>78</v>
      </c>
      <c r="C37" s="44" t="s">
        <v>140</v>
      </c>
      <c r="D37" s="45" t="s">
        <v>43</v>
      </c>
      <c r="E37" s="45" t="s">
        <v>44</v>
      </c>
      <c r="F37" s="45" t="s">
        <v>45</v>
      </c>
      <c r="G37" s="45" t="s">
        <v>46</v>
      </c>
      <c r="H37" s="45" t="s">
        <v>47</v>
      </c>
      <c r="I37" s="45" t="s">
        <v>48</v>
      </c>
      <c r="J37" s="45" t="s">
        <v>49</v>
      </c>
      <c r="K37" s="45" t="s">
        <v>50</v>
      </c>
      <c r="L37" s="45" t="s">
        <v>51</v>
      </c>
      <c r="M37" s="45" t="s">
        <v>52</v>
      </c>
      <c r="N37" s="45" t="s">
        <v>53</v>
      </c>
      <c r="O37" s="45" t="s">
        <v>54</v>
      </c>
      <c r="P37" s="45" t="s">
        <v>55</v>
      </c>
      <c r="Q37" s="44" t="s">
        <v>56</v>
      </c>
      <c r="R37" s="44" t="s">
        <v>57</v>
      </c>
      <c r="S37" s="82"/>
    </row>
    <row r="38" spans="1:21" s="88" customFormat="1" ht="14.25">
      <c r="A38" s="84">
        <v>1</v>
      </c>
      <c r="B38" s="119" t="s">
        <v>100</v>
      </c>
      <c r="C38" s="86">
        <f>C39+C43+C44+C45+C46+C51+C52</f>
        <v>0</v>
      </c>
      <c r="D38" s="86">
        <f>D39+D43+D44+D45+D46+D51+D47+D48+D49+D50+D51+D52</f>
        <v>0</v>
      </c>
      <c r="E38" s="86">
        <f>E39+E43+E44+E45+E46+E51+E47+E48+E49+E50+E51+E52</f>
        <v>0</v>
      </c>
      <c r="F38" s="86">
        <f>F39+F43+F44+F45+F46+F51+F47+F48+F49+F50+F51+F52</f>
        <v>0</v>
      </c>
      <c r="G38" s="86">
        <f>G39+G43+G44+G45+G46+G51+G47+G48+G49+G50+G51+G52</f>
        <v>0</v>
      </c>
      <c r="H38" s="86">
        <f aca="true" t="shared" si="9" ref="H38:O38">H39+H43+H44+H45+H46+H51+H47+H48+H49+H50+H52</f>
        <v>40033.38</v>
      </c>
      <c r="I38" s="86">
        <f t="shared" si="9"/>
        <v>45391.22</v>
      </c>
      <c r="J38" s="86">
        <f t="shared" si="9"/>
        <v>39390.58</v>
      </c>
      <c r="K38" s="86">
        <f t="shared" si="9"/>
        <v>41574.729999999996</v>
      </c>
      <c r="L38" s="86">
        <f t="shared" si="9"/>
        <v>40527.68</v>
      </c>
      <c r="M38" s="86">
        <f t="shared" si="9"/>
        <v>39960.63999999999</v>
      </c>
      <c r="N38" s="86">
        <f t="shared" si="9"/>
        <v>39839.47</v>
      </c>
      <c r="O38" s="86">
        <f t="shared" si="9"/>
        <v>47614.16</v>
      </c>
      <c r="P38" s="86">
        <f>SUM(D38:O38)</f>
        <v>334331.86</v>
      </c>
      <c r="Q38" s="86">
        <f>Q39+Q43+Q44+Q45+Q46+Q51+Q47+Q48+Q49+Q50</f>
        <v>0</v>
      </c>
      <c r="R38" s="125">
        <f>C38+P38-Q38</f>
        <v>334331.86</v>
      </c>
      <c r="S38" s="87"/>
      <c r="T38" s="88" t="e">
        <f>#REF!/3</f>
        <v>#REF!</v>
      </c>
      <c r="U38" s="87" t="e">
        <f>#REF!+#REF!</f>
        <v>#REF!</v>
      </c>
    </row>
    <row r="39" spans="1:21" ht="31.5" customHeight="1">
      <c r="A39" s="96"/>
      <c r="B39" s="118" t="s">
        <v>96</v>
      </c>
      <c r="C39" s="128"/>
      <c r="D39" s="128">
        <f>D40+D41+D42</f>
        <v>0</v>
      </c>
      <c r="E39" s="128">
        <f aca="true" t="shared" si="10" ref="E39:O39">E40+E41+E42</f>
        <v>0</v>
      </c>
      <c r="F39" s="128">
        <f t="shared" si="10"/>
        <v>0</v>
      </c>
      <c r="G39" s="128">
        <f t="shared" si="10"/>
        <v>0</v>
      </c>
      <c r="H39" s="128">
        <f t="shared" si="10"/>
        <v>12751.26</v>
      </c>
      <c r="I39" s="128">
        <f>I40+I41+I42</f>
        <v>14628.89</v>
      </c>
      <c r="J39" s="128">
        <f t="shared" si="10"/>
        <v>14628.88</v>
      </c>
      <c r="K39" s="128">
        <f t="shared" si="10"/>
        <v>14628.9</v>
      </c>
      <c r="L39" s="128">
        <f t="shared" si="10"/>
        <v>14628.88</v>
      </c>
      <c r="M39" s="128">
        <f t="shared" si="10"/>
        <v>14628.9</v>
      </c>
      <c r="N39" s="128">
        <f t="shared" si="10"/>
        <v>15900.89</v>
      </c>
      <c r="O39" s="128">
        <f t="shared" si="10"/>
        <v>16926</v>
      </c>
      <c r="P39" s="98">
        <f>SUM(D39:O39)</f>
        <v>118722.59999999999</v>
      </c>
      <c r="Q39" s="99"/>
      <c r="R39" s="121">
        <f>C39+P39-Q39</f>
        <v>118722.59999999999</v>
      </c>
      <c r="T39" s="88" t="e">
        <f>#REF!/3</f>
        <v>#REF!</v>
      </c>
      <c r="U39" s="100" t="e">
        <f>#REF!+#REF!</f>
        <v>#REF!</v>
      </c>
    </row>
    <row r="40" spans="1:20" s="95" customFormat="1" ht="15">
      <c r="A40" s="89"/>
      <c r="B40" s="117" t="s">
        <v>91</v>
      </c>
      <c r="C40" s="129"/>
      <c r="D40" s="129">
        <f>январь!E13</f>
        <v>0</v>
      </c>
      <c r="E40" s="129">
        <f>февраль!E13</f>
        <v>0</v>
      </c>
      <c r="F40" s="129">
        <f>март!E13</f>
        <v>0</v>
      </c>
      <c r="G40" s="129">
        <f>апрель!E13</f>
        <v>0</v>
      </c>
      <c r="H40" s="129">
        <f>май!E13</f>
        <v>7250.94</v>
      </c>
      <c r="I40" s="129">
        <f>июнь!E15</f>
        <v>8463</v>
      </c>
      <c r="J40" s="90">
        <f>июль!E13</f>
        <v>8462.99</v>
      </c>
      <c r="K40" s="91">
        <f>август!E15</f>
        <v>8462.99</v>
      </c>
      <c r="L40" s="91">
        <f>сентябрь!E13</f>
        <v>8462.99</v>
      </c>
      <c r="M40" s="91">
        <f>октябрь!E13</f>
        <v>8462.99</v>
      </c>
      <c r="N40" s="91">
        <f>'ноябрь '!E15</f>
        <v>9735</v>
      </c>
      <c r="O40" s="91">
        <f>декабрь!E15</f>
        <v>10760.11</v>
      </c>
      <c r="P40" s="92">
        <f aca="true" t="shared" si="11" ref="P40:P84">SUM(D40:O40)</f>
        <v>70061.01</v>
      </c>
      <c r="Q40" s="93"/>
      <c r="R40" s="121">
        <f aca="true" t="shared" si="12" ref="R40:R84">C40+P40-Q40</f>
        <v>70061.01</v>
      </c>
      <c r="S40" s="94"/>
      <c r="T40" s="88"/>
    </row>
    <row r="41" spans="1:20" s="95" customFormat="1" ht="15">
      <c r="A41" s="89"/>
      <c r="B41" s="117" t="s">
        <v>92</v>
      </c>
      <c r="C41" s="129"/>
      <c r="D41" s="129">
        <f>январь!E16</f>
        <v>0</v>
      </c>
      <c r="E41" s="129">
        <f>февраль!E15</f>
        <v>0</v>
      </c>
      <c r="F41" s="129">
        <f>март!E15</f>
        <v>0</v>
      </c>
      <c r="G41" s="129">
        <f>апрель!E15</f>
        <v>0</v>
      </c>
      <c r="H41" s="129">
        <f>май!E15</f>
        <v>1873.33</v>
      </c>
      <c r="I41" s="129">
        <f>июнь!E19</f>
        <v>2538.9</v>
      </c>
      <c r="J41" s="90">
        <f>июль!E15</f>
        <v>2538.9</v>
      </c>
      <c r="K41" s="91">
        <f>август!E19</f>
        <v>2538.92</v>
      </c>
      <c r="L41" s="91">
        <f>сентябрь!E18</f>
        <v>2538.9</v>
      </c>
      <c r="M41" s="91">
        <f>октябрь!E18</f>
        <v>2538.92</v>
      </c>
      <c r="N41" s="91">
        <f>'ноябрь '!E18</f>
        <v>2538.9</v>
      </c>
      <c r="O41" s="91">
        <f>декабрь!E18</f>
        <v>2538.9</v>
      </c>
      <c r="P41" s="92">
        <f t="shared" si="11"/>
        <v>19645.670000000002</v>
      </c>
      <c r="Q41" s="93"/>
      <c r="R41" s="121">
        <f t="shared" si="12"/>
        <v>19645.670000000002</v>
      </c>
      <c r="S41" s="94"/>
      <c r="T41" s="88"/>
    </row>
    <row r="42" spans="1:20" s="95" customFormat="1" ht="15">
      <c r="A42" s="89"/>
      <c r="B42" s="117" t="s">
        <v>97</v>
      </c>
      <c r="C42" s="129"/>
      <c r="D42" s="129">
        <f>январь!E41</f>
        <v>0</v>
      </c>
      <c r="E42" s="129">
        <f>февраль!E40</f>
        <v>0</v>
      </c>
      <c r="F42" s="129">
        <f>март!E40</f>
        <v>0</v>
      </c>
      <c r="G42" s="129">
        <f>апрель!E40</f>
        <v>0</v>
      </c>
      <c r="H42" s="129">
        <f>май!E40</f>
        <v>3626.99</v>
      </c>
      <c r="I42" s="129">
        <f>июнь!E44</f>
        <v>3626.99</v>
      </c>
      <c r="J42" s="90">
        <f>июль!E41</f>
        <v>3626.99</v>
      </c>
      <c r="K42" s="91">
        <f>август!E44</f>
        <v>3626.99</v>
      </c>
      <c r="L42" s="91">
        <f>сентябрь!E43</f>
        <v>3626.99</v>
      </c>
      <c r="M42" s="91">
        <f>октябрь!E43</f>
        <v>3626.99</v>
      </c>
      <c r="N42" s="91">
        <f>'ноябрь '!E43</f>
        <v>3626.99</v>
      </c>
      <c r="O42" s="91">
        <f>декабрь!E43</f>
        <v>3626.99</v>
      </c>
      <c r="P42" s="98">
        <f t="shared" si="11"/>
        <v>29015.91999999999</v>
      </c>
      <c r="Q42" s="93"/>
      <c r="R42" s="121">
        <f t="shared" si="12"/>
        <v>29015.91999999999</v>
      </c>
      <c r="S42" s="94"/>
      <c r="T42" s="88"/>
    </row>
    <row r="43" spans="1:20" ht="15">
      <c r="A43" s="96"/>
      <c r="B43" s="122" t="s">
        <v>93</v>
      </c>
      <c r="C43" s="128"/>
      <c r="D43" s="128">
        <f>январь!F13+январь!F16+январь!F41</f>
        <v>0</v>
      </c>
      <c r="E43" s="128">
        <f>февраль!F40+февраль!F15+февраль!F13</f>
        <v>0</v>
      </c>
      <c r="F43" s="128">
        <f>март!F13++март!F15+март!F40</f>
        <v>0</v>
      </c>
      <c r="G43" s="128">
        <f>апрель!F13+апрель!F15+апрель!F40</f>
        <v>0</v>
      </c>
      <c r="H43" s="98">
        <f>май!F13+май!F15+май!F40</f>
        <v>600</v>
      </c>
      <c r="I43" s="98">
        <f>июнь!F13+июнь!F19+июнь!F15+июнь!F17</f>
        <v>1324.7</v>
      </c>
      <c r="J43" s="99">
        <f>июль!F13+июль!F15+июль!F41</f>
        <v>458</v>
      </c>
      <c r="K43" s="99">
        <f>август!F15+август!F19</f>
        <v>312</v>
      </c>
      <c r="L43" s="99">
        <f>сентябрь!F15+сентябрь!F18+сентябрь!F43</f>
        <v>313</v>
      </c>
      <c r="M43" s="99">
        <f>октябрь!F15+октябрь!F18+октябрь!F43</f>
        <v>979</v>
      </c>
      <c r="N43" s="91">
        <f>'ноябрь '!F15+'ноябрь '!F18+'ноябрь '!F43</f>
        <v>465</v>
      </c>
      <c r="O43" s="91">
        <f>декабрь!F15+декабрь!F18+декабрь!F43</f>
        <v>393</v>
      </c>
      <c r="P43" s="98">
        <f t="shared" si="11"/>
        <v>4844.7</v>
      </c>
      <c r="Q43" s="99"/>
      <c r="R43" s="121">
        <f t="shared" si="12"/>
        <v>4844.7</v>
      </c>
      <c r="T43" s="88"/>
    </row>
    <row r="44" spans="1:20" ht="15">
      <c r="A44" s="96"/>
      <c r="B44" s="123" t="s">
        <v>17</v>
      </c>
      <c r="C44" s="128"/>
      <c r="D44" s="128">
        <f>январь!G43</f>
        <v>0</v>
      </c>
      <c r="E44" s="128">
        <f>февраль!G42</f>
        <v>0</v>
      </c>
      <c r="F44" s="128">
        <f>март!H42</f>
        <v>0</v>
      </c>
      <c r="G44" s="128">
        <f>апрель!I42</f>
        <v>0</v>
      </c>
      <c r="H44" s="128">
        <v>14529.2</v>
      </c>
      <c r="I44" s="98">
        <f>июнь!G46</f>
        <v>14529.2</v>
      </c>
      <c r="J44" s="99">
        <f>июль!G43</f>
        <v>14529.2</v>
      </c>
      <c r="K44" s="99">
        <f>август!G46</f>
        <v>14529.2</v>
      </c>
      <c r="L44" s="99">
        <f>сентябрь!G45</f>
        <v>14529.2</v>
      </c>
      <c r="M44" s="120">
        <f>октябрь!E45</f>
        <v>14529.2</v>
      </c>
      <c r="N44" s="120">
        <f>'ноябрь '!G45</f>
        <v>14529.2</v>
      </c>
      <c r="O44" s="120">
        <f>декабрь!G45</f>
        <v>14529.2</v>
      </c>
      <c r="P44" s="98">
        <f t="shared" si="11"/>
        <v>116233.59999999999</v>
      </c>
      <c r="Q44" s="99"/>
      <c r="R44" s="121">
        <f t="shared" si="12"/>
        <v>116233.59999999999</v>
      </c>
      <c r="T44" s="88"/>
    </row>
    <row r="45" spans="1:20" ht="15">
      <c r="A45" s="96"/>
      <c r="B45" s="123" t="s">
        <v>15</v>
      </c>
      <c r="C45" s="128"/>
      <c r="D45" s="128">
        <f>январь!E42</f>
        <v>0</v>
      </c>
      <c r="E45" s="128">
        <f>февраль!G41</f>
        <v>0</v>
      </c>
      <c r="F45" s="128">
        <f>март!G41</f>
        <v>0</v>
      </c>
      <c r="G45" s="128">
        <f>апрель!G41</f>
        <v>0</v>
      </c>
      <c r="H45" s="98">
        <f>май!G41</f>
        <v>8333.38</v>
      </c>
      <c r="I45" s="98">
        <f>июнь!G45</f>
        <v>8344.38</v>
      </c>
      <c r="J45" s="99">
        <f>июль!G42</f>
        <v>8333.38</v>
      </c>
      <c r="K45" s="99">
        <f>август!G45</f>
        <v>8333.38</v>
      </c>
      <c r="L45" s="99">
        <f>сентябрь!G44</f>
        <v>8333.38</v>
      </c>
      <c r="M45" s="91">
        <f>октябрь!E44</f>
        <v>8333.38</v>
      </c>
      <c r="N45" s="91">
        <f>'ноябрь '!G44</f>
        <v>8333.38</v>
      </c>
      <c r="O45" s="91">
        <f>декабрь!G44</f>
        <v>8333.38</v>
      </c>
      <c r="P45" s="98">
        <f t="shared" si="11"/>
        <v>66678.04</v>
      </c>
      <c r="Q45" s="99"/>
      <c r="R45" s="121">
        <f t="shared" si="12"/>
        <v>66678.04</v>
      </c>
      <c r="T45" s="88"/>
    </row>
    <row r="46" spans="1:20" ht="15">
      <c r="A46" s="96"/>
      <c r="B46" s="122" t="s">
        <v>94</v>
      </c>
      <c r="C46" s="128"/>
      <c r="D46" s="128">
        <f>январь!E17</f>
        <v>0</v>
      </c>
      <c r="E46" s="128">
        <f>февраль!G16</f>
        <v>0</v>
      </c>
      <c r="F46" s="128">
        <f>март!G16</f>
        <v>0</v>
      </c>
      <c r="G46" s="128">
        <f>апрель!G16</f>
        <v>0</v>
      </c>
      <c r="H46" s="98">
        <f>май!G16</f>
        <v>611</v>
      </c>
      <c r="I46" s="98">
        <f>июнь!G20</f>
        <v>611</v>
      </c>
      <c r="J46" s="99">
        <f>июль!G16</f>
        <v>611</v>
      </c>
      <c r="K46" s="99">
        <f>август!G20</f>
        <v>611</v>
      </c>
      <c r="L46" s="99">
        <f>сентябрь!G19</f>
        <v>611</v>
      </c>
      <c r="M46" s="91">
        <f>октябрь!E19</f>
        <v>611</v>
      </c>
      <c r="N46" s="91">
        <f>'ноябрь '!G19</f>
        <v>611</v>
      </c>
      <c r="O46" s="91">
        <f>декабрь!G19</f>
        <v>611</v>
      </c>
      <c r="P46" s="98">
        <f t="shared" si="11"/>
        <v>4888</v>
      </c>
      <c r="Q46" s="99"/>
      <c r="R46" s="121">
        <f t="shared" si="12"/>
        <v>4888</v>
      </c>
      <c r="T46" s="88"/>
    </row>
    <row r="47" spans="1:20" ht="15.75">
      <c r="A47" s="96"/>
      <c r="B47" s="55" t="s">
        <v>68</v>
      </c>
      <c r="C47" s="128"/>
      <c r="D47" s="128">
        <f>январь!E18</f>
        <v>0</v>
      </c>
      <c r="E47" s="128">
        <f>февраль!G17</f>
        <v>0</v>
      </c>
      <c r="F47" s="128">
        <f>март!G17</f>
        <v>0</v>
      </c>
      <c r="G47" s="128">
        <f>апрель!G17</f>
        <v>0</v>
      </c>
      <c r="H47" s="98">
        <f>май!G17</f>
        <v>1133.92</v>
      </c>
      <c r="I47" s="98">
        <f>июнь!G21</f>
        <v>0</v>
      </c>
      <c r="J47" s="99">
        <f>июль!G17</f>
        <v>0</v>
      </c>
      <c r="K47" s="99">
        <f>август!G21</f>
        <v>936.06</v>
      </c>
      <c r="L47" s="99">
        <f>сентябрь!G20</f>
        <v>2112.22</v>
      </c>
      <c r="M47" s="91">
        <f>октябрь!E20</f>
        <v>677.09</v>
      </c>
      <c r="N47" s="91">
        <f>'ноябрь '!G20</f>
        <v>0</v>
      </c>
      <c r="O47" s="91">
        <f>декабрь!G20</f>
        <v>5422.62</v>
      </c>
      <c r="P47" s="98">
        <f t="shared" si="11"/>
        <v>10281.91</v>
      </c>
      <c r="Q47" s="99"/>
      <c r="R47" s="121">
        <f t="shared" si="12"/>
        <v>10281.91</v>
      </c>
      <c r="T47" s="88"/>
    </row>
    <row r="48" spans="1:20" ht="15.75">
      <c r="A48" s="96"/>
      <c r="B48" s="55" t="s">
        <v>69</v>
      </c>
      <c r="C48" s="128"/>
      <c r="D48" s="128">
        <f>январь!E19</f>
        <v>0</v>
      </c>
      <c r="E48" s="128">
        <f>февраль!G18</f>
        <v>0</v>
      </c>
      <c r="F48" s="128">
        <f>март!G18</f>
        <v>0</v>
      </c>
      <c r="G48" s="128">
        <f>апрель!G18</f>
        <v>0</v>
      </c>
      <c r="H48" s="98">
        <f>май!G18</f>
        <v>0</v>
      </c>
      <c r="I48" s="98">
        <f>июнь!G22</f>
        <v>0</v>
      </c>
      <c r="J48" s="99">
        <f>июль!G18</f>
        <v>0</v>
      </c>
      <c r="K48" s="99">
        <f>август!G22</f>
        <v>0</v>
      </c>
      <c r="L48" s="99">
        <f>сентябрь!G21</f>
        <v>0</v>
      </c>
      <c r="M48" s="91">
        <f>октябрь!E21</f>
        <v>0</v>
      </c>
      <c r="N48" s="91">
        <f>'ноябрь '!G21</f>
        <v>0</v>
      </c>
      <c r="O48" s="91">
        <f>декабрь!G21</f>
        <v>0</v>
      </c>
      <c r="P48" s="98">
        <f t="shared" si="11"/>
        <v>0</v>
      </c>
      <c r="Q48" s="99"/>
      <c r="R48" s="121">
        <f t="shared" si="12"/>
        <v>0</v>
      </c>
      <c r="T48" s="88"/>
    </row>
    <row r="49" spans="1:20" ht="15.75">
      <c r="A49" s="96"/>
      <c r="B49" s="55" t="s">
        <v>72</v>
      </c>
      <c r="C49" s="128"/>
      <c r="D49" s="128">
        <f>январь!E20</f>
        <v>0</v>
      </c>
      <c r="E49" s="128">
        <f>февраль!G19</f>
        <v>0</v>
      </c>
      <c r="F49" s="128">
        <f>март!G19</f>
        <v>0</v>
      </c>
      <c r="G49" s="128">
        <f>апрель!G19</f>
        <v>0</v>
      </c>
      <c r="H49" s="98">
        <f>май!G19</f>
        <v>2074.62</v>
      </c>
      <c r="I49" s="98">
        <f>июнь!G23</f>
        <v>0</v>
      </c>
      <c r="J49" s="99">
        <f>июль!G19</f>
        <v>-1169.88</v>
      </c>
      <c r="K49" s="99">
        <f>август!G23</f>
        <v>0</v>
      </c>
      <c r="L49" s="99">
        <f>сентябрь!G22</f>
        <v>0</v>
      </c>
      <c r="M49" s="91">
        <f>октябрь!E22</f>
        <v>0</v>
      </c>
      <c r="N49" s="91">
        <f>'ноябрь '!G22</f>
        <v>0</v>
      </c>
      <c r="O49" s="91">
        <f>декабрь!G22</f>
        <v>0</v>
      </c>
      <c r="P49" s="98">
        <f t="shared" si="11"/>
        <v>904.7399999999998</v>
      </c>
      <c r="Q49" s="99"/>
      <c r="R49" s="121">
        <f t="shared" si="12"/>
        <v>904.7399999999998</v>
      </c>
      <c r="T49" s="88"/>
    </row>
    <row r="50" spans="1:20" ht="15.75">
      <c r="A50" s="96"/>
      <c r="B50" s="55" t="s">
        <v>70</v>
      </c>
      <c r="C50" s="128"/>
      <c r="D50" s="128">
        <f>январь!E21</f>
        <v>0</v>
      </c>
      <c r="E50" s="128">
        <f>февраль!G20</f>
        <v>0</v>
      </c>
      <c r="F50" s="128">
        <f>март!G20</f>
        <v>0</v>
      </c>
      <c r="G50" s="128">
        <f>апрель!G20</f>
        <v>0</v>
      </c>
      <c r="H50" s="98">
        <f>май!G20</f>
        <v>0</v>
      </c>
      <c r="I50" s="98">
        <f>июнь!G24</f>
        <v>0</v>
      </c>
      <c r="J50" s="99">
        <f>июль!G20</f>
        <v>0</v>
      </c>
      <c r="K50" s="99">
        <f>август!G24</f>
        <v>0</v>
      </c>
      <c r="L50" s="99">
        <f>сентябрь!G23</f>
        <v>0</v>
      </c>
      <c r="M50" s="91">
        <f>октябрь!E23</f>
        <v>0</v>
      </c>
      <c r="N50" s="91">
        <f>'ноябрь '!G23</f>
        <v>0</v>
      </c>
      <c r="O50" s="91">
        <f>декабрь!G23</f>
        <v>0</v>
      </c>
      <c r="P50" s="98">
        <f t="shared" si="11"/>
        <v>0</v>
      </c>
      <c r="Q50" s="99"/>
      <c r="R50" s="121">
        <f t="shared" si="12"/>
        <v>0</v>
      </c>
      <c r="T50" s="88"/>
    </row>
    <row r="51" spans="1:20" ht="15">
      <c r="A51" s="96"/>
      <c r="B51" s="122" t="s">
        <v>95</v>
      </c>
      <c r="C51" s="128"/>
      <c r="D51" s="128">
        <f>январь!E22</f>
        <v>0</v>
      </c>
      <c r="E51" s="128">
        <f>февраль!G21</f>
        <v>0</v>
      </c>
      <c r="F51" s="128">
        <f>март!G21</f>
        <v>0</v>
      </c>
      <c r="G51" s="128">
        <f>апрель!G21</f>
        <v>0</v>
      </c>
      <c r="H51" s="98">
        <f>май!G21</f>
        <v>0</v>
      </c>
      <c r="I51" s="98">
        <f>июнь!G25</f>
        <v>953.05</v>
      </c>
      <c r="J51" s="99">
        <f>июль!G21</f>
        <v>0</v>
      </c>
      <c r="K51" s="99">
        <f>август!G25</f>
        <v>643.39</v>
      </c>
      <c r="L51" s="99">
        <f>сентябрь!G24</f>
        <v>0</v>
      </c>
      <c r="M51" s="91">
        <f>октябрь!E24</f>
        <v>202.07</v>
      </c>
      <c r="N51" s="91">
        <f>'ноябрь '!G24</f>
        <v>0</v>
      </c>
      <c r="O51" s="91">
        <f>декабрь!G24</f>
        <v>1398.96</v>
      </c>
      <c r="P51" s="98">
        <f t="shared" si="11"/>
        <v>3197.4700000000003</v>
      </c>
      <c r="Q51" s="99"/>
      <c r="R51" s="121">
        <f t="shared" si="12"/>
        <v>3197.4700000000003</v>
      </c>
      <c r="T51" s="88"/>
    </row>
    <row r="52" spans="1:20" ht="15">
      <c r="A52" s="96"/>
      <c r="B52" s="174" t="s">
        <v>33</v>
      </c>
      <c r="C52" s="128"/>
      <c r="D52" s="98">
        <f aca="true" t="shared" si="13" ref="D52:O52">D53+D54</f>
        <v>0</v>
      </c>
      <c r="E52" s="98">
        <f t="shared" si="13"/>
        <v>0</v>
      </c>
      <c r="F52" s="98">
        <f t="shared" si="13"/>
        <v>0</v>
      </c>
      <c r="G52" s="98">
        <f t="shared" si="13"/>
        <v>0</v>
      </c>
      <c r="H52" s="98">
        <f t="shared" si="13"/>
        <v>0</v>
      </c>
      <c r="I52" s="98">
        <f t="shared" si="13"/>
        <v>5000</v>
      </c>
      <c r="J52" s="128">
        <f t="shared" si="13"/>
        <v>2000</v>
      </c>
      <c r="K52" s="128">
        <f t="shared" si="13"/>
        <v>1580.8</v>
      </c>
      <c r="L52" s="128">
        <f t="shared" si="13"/>
        <v>0</v>
      </c>
      <c r="M52" s="128">
        <f t="shared" si="13"/>
        <v>0</v>
      </c>
      <c r="N52" s="128">
        <f t="shared" si="13"/>
        <v>0</v>
      </c>
      <c r="O52" s="128">
        <f t="shared" si="13"/>
        <v>0</v>
      </c>
      <c r="P52" s="98">
        <f t="shared" si="11"/>
        <v>8580.8</v>
      </c>
      <c r="Q52" s="99"/>
      <c r="R52" s="121">
        <f t="shared" si="12"/>
        <v>8580.8</v>
      </c>
      <c r="T52" s="88"/>
    </row>
    <row r="53" spans="1:20" ht="15">
      <c r="A53" s="96"/>
      <c r="B53" s="174" t="s">
        <v>183</v>
      </c>
      <c r="C53" s="128"/>
      <c r="D53" s="128"/>
      <c r="E53" s="128"/>
      <c r="F53" s="128"/>
      <c r="G53" s="128"/>
      <c r="H53" s="128"/>
      <c r="I53" s="98">
        <f>июнь!E17</f>
        <v>2500</v>
      </c>
      <c r="J53" s="99">
        <f>июль!G28</f>
        <v>2000</v>
      </c>
      <c r="K53" s="99">
        <f>август!G17</f>
        <v>1580.8</v>
      </c>
      <c r="L53" s="99">
        <f>сентябрь!G17</f>
        <v>0</v>
      </c>
      <c r="M53" s="91">
        <f>октябрь!E17</f>
        <v>0</v>
      </c>
      <c r="N53" s="91"/>
      <c r="O53" s="176"/>
      <c r="P53" s="98">
        <f t="shared" si="11"/>
        <v>6080.8</v>
      </c>
      <c r="Q53" s="99"/>
      <c r="R53" s="121">
        <f t="shared" si="12"/>
        <v>6080.8</v>
      </c>
      <c r="T53" s="88"/>
    </row>
    <row r="54" spans="1:20" ht="15">
      <c r="A54" s="96"/>
      <c r="B54" s="174" t="s">
        <v>184</v>
      </c>
      <c r="C54" s="128"/>
      <c r="D54" s="128">
        <f>январь!E14</f>
        <v>0</v>
      </c>
      <c r="E54" s="128">
        <f>февраль!G14</f>
        <v>0</v>
      </c>
      <c r="F54" s="128">
        <f>март!G14</f>
        <v>0</v>
      </c>
      <c r="G54" s="128">
        <f>апрель!G14</f>
        <v>0</v>
      </c>
      <c r="H54" s="98">
        <f>май!G14</f>
        <v>0</v>
      </c>
      <c r="I54" s="98">
        <f>июнь!E18</f>
        <v>2500</v>
      </c>
      <c r="J54" s="99">
        <f>июль!G14</f>
        <v>0</v>
      </c>
      <c r="K54" s="99">
        <f>август!G16</f>
        <v>0</v>
      </c>
      <c r="L54" s="99">
        <f>сентябрь!G16</f>
        <v>0</v>
      </c>
      <c r="M54" s="91">
        <f>октябрь!E16</f>
        <v>0</v>
      </c>
      <c r="N54" s="91">
        <v>0</v>
      </c>
      <c r="O54" s="91">
        <v>0</v>
      </c>
      <c r="P54" s="98">
        <f t="shared" si="11"/>
        <v>2500</v>
      </c>
      <c r="Q54" s="99"/>
      <c r="R54" s="121">
        <f t="shared" si="12"/>
        <v>2500</v>
      </c>
      <c r="T54" s="88"/>
    </row>
    <row r="55" spans="1:20" s="88" customFormat="1" ht="14.25">
      <c r="A55" s="84">
        <v>2</v>
      </c>
      <c r="B55" s="119" t="s">
        <v>102</v>
      </c>
      <c r="C55" s="86">
        <f>C56+C57</f>
        <v>0</v>
      </c>
      <c r="D55" s="86">
        <f>D56+D57</f>
        <v>0</v>
      </c>
      <c r="E55" s="86">
        <f aca="true" t="shared" si="14" ref="E55:Q55">E56+E57</f>
        <v>0</v>
      </c>
      <c r="F55" s="86">
        <f t="shared" si="14"/>
        <v>0</v>
      </c>
      <c r="G55" s="86">
        <f t="shared" si="14"/>
        <v>3.2</v>
      </c>
      <c r="H55" s="86">
        <f t="shared" si="14"/>
        <v>4327.37</v>
      </c>
      <c r="I55" s="86">
        <f t="shared" si="14"/>
        <v>5182.37</v>
      </c>
      <c r="J55" s="86">
        <f t="shared" si="14"/>
        <v>4506.17</v>
      </c>
      <c r="K55" s="86">
        <f t="shared" si="14"/>
        <v>3699.37</v>
      </c>
      <c r="L55" s="86">
        <f t="shared" si="14"/>
        <v>4347.37</v>
      </c>
      <c r="M55" s="86">
        <f t="shared" si="14"/>
        <v>4119.37</v>
      </c>
      <c r="N55" s="86">
        <f t="shared" si="14"/>
        <v>3744.37</v>
      </c>
      <c r="O55" s="86">
        <f t="shared" si="14"/>
        <v>6371.27</v>
      </c>
      <c r="P55" s="86">
        <f t="shared" si="11"/>
        <v>36300.86</v>
      </c>
      <c r="Q55" s="86">
        <f t="shared" si="14"/>
        <v>0</v>
      </c>
      <c r="R55" s="125">
        <f t="shared" si="12"/>
        <v>36300.86</v>
      </c>
      <c r="S55" s="87"/>
      <c r="T55" s="88" t="e">
        <f>#REF!/3</f>
        <v>#REF!</v>
      </c>
    </row>
    <row r="56" spans="1:20" ht="30">
      <c r="A56" s="96"/>
      <c r="B56" s="118" t="s">
        <v>96</v>
      </c>
      <c r="C56" s="98"/>
      <c r="D56" s="98">
        <f>январь!E24</f>
        <v>0</v>
      </c>
      <c r="E56" s="98">
        <f>февраль!E23</f>
        <v>0</v>
      </c>
      <c r="F56" s="98">
        <f>март!E23</f>
        <v>0</v>
      </c>
      <c r="G56" s="98">
        <f>апрель!E23</f>
        <v>0</v>
      </c>
      <c r="H56" s="98">
        <f>май!E23</f>
        <v>3699.37</v>
      </c>
      <c r="I56" s="98">
        <f>июнь!E27</f>
        <v>3699.37</v>
      </c>
      <c r="J56" s="98">
        <f>июль!E23</f>
        <v>3699.37</v>
      </c>
      <c r="K56" s="120">
        <f>август!E27</f>
        <v>3699.37</v>
      </c>
      <c r="L56" s="120">
        <f>сентябрь!E26</f>
        <v>3699.37</v>
      </c>
      <c r="M56" s="99">
        <f>октябрь!E26</f>
        <v>3699.37</v>
      </c>
      <c r="N56" s="99">
        <f>'ноябрь '!E26</f>
        <v>3699.37</v>
      </c>
      <c r="O56" s="120">
        <f>декабрь!E26</f>
        <v>3699.37</v>
      </c>
      <c r="P56" s="98">
        <f t="shared" si="11"/>
        <v>29594.959999999995</v>
      </c>
      <c r="Q56" s="99"/>
      <c r="R56" s="121">
        <f t="shared" si="12"/>
        <v>29594.959999999995</v>
      </c>
      <c r="T56" s="88"/>
    </row>
    <row r="57" spans="1:18" ht="15">
      <c r="A57" s="96"/>
      <c r="B57" s="122" t="s">
        <v>93</v>
      </c>
      <c r="C57" s="124"/>
      <c r="D57" s="98">
        <f>январь!F24</f>
        <v>0</v>
      </c>
      <c r="E57" s="128">
        <f>февраль!F23</f>
        <v>0</v>
      </c>
      <c r="F57" s="128">
        <f>март!F23</f>
        <v>0</v>
      </c>
      <c r="G57" s="136">
        <f>апрель!F23</f>
        <v>3.2</v>
      </c>
      <c r="H57" s="98">
        <f>май!F23</f>
        <v>628</v>
      </c>
      <c r="I57" s="98">
        <f>июнь!F27</f>
        <v>1483</v>
      </c>
      <c r="J57" s="99">
        <f>июль!F23</f>
        <v>806.8</v>
      </c>
      <c r="K57" s="99">
        <f>август!F27</f>
        <v>0</v>
      </c>
      <c r="L57" s="99">
        <f>сентябрь!F26</f>
        <v>648</v>
      </c>
      <c r="M57" s="99">
        <f>октябрь!F26</f>
        <v>420</v>
      </c>
      <c r="N57" s="99">
        <f>'ноябрь '!F26</f>
        <v>45</v>
      </c>
      <c r="O57" s="99">
        <f>декабрь!F26</f>
        <v>2671.9</v>
      </c>
      <c r="P57" s="98">
        <f t="shared" si="11"/>
        <v>6705.9</v>
      </c>
      <c r="Q57" s="99"/>
      <c r="R57" s="121">
        <f t="shared" si="12"/>
        <v>6705.9</v>
      </c>
    </row>
    <row r="58" spans="1:26" s="88" customFormat="1" ht="14.25">
      <c r="A58" s="84">
        <v>3</v>
      </c>
      <c r="B58" s="127" t="s">
        <v>101</v>
      </c>
      <c r="C58" s="131">
        <f>C59+C60</f>
        <v>0</v>
      </c>
      <c r="D58" s="131">
        <f>D59+D60</f>
        <v>0</v>
      </c>
      <c r="E58" s="131">
        <f aca="true" t="shared" si="15" ref="E58:Q58">E59+E60</f>
        <v>0</v>
      </c>
      <c r="F58" s="131">
        <f t="shared" si="15"/>
        <v>0</v>
      </c>
      <c r="G58" s="131">
        <f t="shared" si="15"/>
        <v>0</v>
      </c>
      <c r="H58" s="131">
        <f t="shared" si="15"/>
        <v>1704.78</v>
      </c>
      <c r="I58" s="131">
        <f t="shared" si="15"/>
        <v>2324.7799999999997</v>
      </c>
      <c r="J58" s="131">
        <f t="shared" si="15"/>
        <v>1704.78</v>
      </c>
      <c r="K58" s="131">
        <f t="shared" si="15"/>
        <v>1704.78</v>
      </c>
      <c r="L58" s="131">
        <f t="shared" si="15"/>
        <v>2054.7799999999997</v>
      </c>
      <c r="M58" s="131">
        <f t="shared" si="15"/>
        <v>2004.78</v>
      </c>
      <c r="N58" s="131">
        <f t="shared" si="15"/>
        <v>6064.78</v>
      </c>
      <c r="O58" s="131">
        <f t="shared" si="15"/>
        <v>1704.78</v>
      </c>
      <c r="P58" s="86">
        <f t="shared" si="11"/>
        <v>19268.239999999998</v>
      </c>
      <c r="Q58" s="131">
        <f t="shared" si="15"/>
        <v>0</v>
      </c>
      <c r="R58" s="125">
        <f t="shared" si="12"/>
        <v>19268.239999999998</v>
      </c>
      <c r="S58" s="87"/>
      <c r="X58" s="87" t="e">
        <f>#REF!+#REF!</f>
        <v>#REF!</v>
      </c>
      <c r="Z58" s="87">
        <v>1365644.8953411141</v>
      </c>
    </row>
    <row r="59" spans="1:18" ht="15" customHeight="1">
      <c r="A59" s="96"/>
      <c r="B59" s="118" t="s">
        <v>96</v>
      </c>
      <c r="C59" s="98"/>
      <c r="D59" s="98">
        <f>январь!E23</f>
        <v>0</v>
      </c>
      <c r="E59" s="98">
        <f>февраль!E22</f>
        <v>0</v>
      </c>
      <c r="F59" s="98">
        <f>март!E22</f>
        <v>0</v>
      </c>
      <c r="G59" s="98">
        <f>апрель!E22</f>
        <v>0</v>
      </c>
      <c r="H59" s="98">
        <f>май!E22</f>
        <v>1704.78</v>
      </c>
      <c r="I59" s="98">
        <f>июнь!E26</f>
        <v>1704.78</v>
      </c>
      <c r="J59" s="98">
        <f>июль!E22</f>
        <v>1704.78</v>
      </c>
      <c r="K59" s="98">
        <f>август!E26</f>
        <v>1704.78</v>
      </c>
      <c r="L59" s="98">
        <f>сентябрь!E25</f>
        <v>1704.78</v>
      </c>
      <c r="M59" s="99">
        <f>октябрь!E25</f>
        <v>1704.78</v>
      </c>
      <c r="N59" s="98">
        <f>'ноябрь '!E25</f>
        <v>1704.78</v>
      </c>
      <c r="O59" s="98">
        <f>декабрь!E25</f>
        <v>1704.78</v>
      </c>
      <c r="P59" s="98">
        <f t="shared" si="11"/>
        <v>13638.240000000002</v>
      </c>
      <c r="Q59" s="99"/>
      <c r="R59" s="121">
        <f t="shared" si="12"/>
        <v>13638.240000000002</v>
      </c>
    </row>
    <row r="60" spans="1:26" ht="15">
      <c r="A60" s="96"/>
      <c r="B60" s="122" t="s">
        <v>93</v>
      </c>
      <c r="C60" s="98"/>
      <c r="D60" s="98">
        <f>январь!F23</f>
        <v>0</v>
      </c>
      <c r="E60" s="98">
        <f>февраль!F22</f>
        <v>0</v>
      </c>
      <c r="F60" s="98">
        <f>март!F22</f>
        <v>0</v>
      </c>
      <c r="G60" s="98">
        <f>апрель!F22</f>
        <v>0</v>
      </c>
      <c r="H60" s="98">
        <f>май!F22</f>
        <v>0</v>
      </c>
      <c r="I60" s="98">
        <f>июнь!F26</f>
        <v>620</v>
      </c>
      <c r="J60" s="99">
        <f>июль!F22</f>
        <v>0</v>
      </c>
      <c r="K60" s="99">
        <f>август!F26</f>
        <v>0</v>
      </c>
      <c r="L60" s="99">
        <f>сентябрь!F25</f>
        <v>350</v>
      </c>
      <c r="M60" s="99">
        <f>октябрь!F25</f>
        <v>300</v>
      </c>
      <c r="N60" s="99">
        <f>'ноябрь '!F25</f>
        <v>4360</v>
      </c>
      <c r="O60" s="99">
        <f>декабрь!F25</f>
        <v>0</v>
      </c>
      <c r="P60" s="98">
        <f t="shared" si="11"/>
        <v>5630</v>
      </c>
      <c r="Q60" s="99"/>
      <c r="R60" s="121">
        <f t="shared" si="12"/>
        <v>5630</v>
      </c>
      <c r="Z60" s="100" t="e">
        <f>Z58-X58</f>
        <v>#REF!</v>
      </c>
    </row>
    <row r="61" spans="1:19" s="103" customFormat="1" ht="15">
      <c r="A61" s="104"/>
      <c r="B61" s="122" t="s">
        <v>121</v>
      </c>
      <c r="C61" s="98"/>
      <c r="D61" s="98">
        <f>январь!G25</f>
        <v>0</v>
      </c>
      <c r="E61" s="136">
        <f>февраль!G24</f>
        <v>0</v>
      </c>
      <c r="F61" s="98">
        <f>март!G24</f>
        <v>0</v>
      </c>
      <c r="G61" s="98">
        <f>апрель!G24</f>
        <v>0</v>
      </c>
      <c r="H61" s="98">
        <f>май!G24</f>
        <v>6364.51</v>
      </c>
      <c r="I61" s="98">
        <f>июнь!G28</f>
        <v>6372.072</v>
      </c>
      <c r="J61" s="99">
        <f>июль!G24</f>
        <v>6372.072</v>
      </c>
      <c r="K61" s="99">
        <f>август!G28</f>
        <v>6372.072</v>
      </c>
      <c r="L61" s="99">
        <f>сентябрь!G27</f>
        <v>6372.072</v>
      </c>
      <c r="M61" s="99">
        <f>октябрь!G27</f>
        <v>6372.072</v>
      </c>
      <c r="N61" s="102">
        <f>'ноябрь '!G27</f>
        <v>6372.072</v>
      </c>
      <c r="O61" s="102">
        <f>декабрь!G27</f>
        <v>6372.072</v>
      </c>
      <c r="P61" s="98">
        <f t="shared" si="11"/>
        <v>50969.014</v>
      </c>
      <c r="Q61" s="99"/>
      <c r="R61" s="121">
        <f t="shared" si="12"/>
        <v>50969.014</v>
      </c>
      <c r="S61" s="100"/>
    </row>
    <row r="62" spans="1:19" s="162" customFormat="1" ht="26.25" customHeight="1">
      <c r="A62" s="96">
        <v>4</v>
      </c>
      <c r="B62" s="118" t="s">
        <v>138</v>
      </c>
      <c r="C62" s="124"/>
      <c r="D62" s="98">
        <f>январь!G26</f>
        <v>0</v>
      </c>
      <c r="E62" s="136">
        <f>февраль!G25</f>
        <v>0</v>
      </c>
      <c r="F62" s="98">
        <f>март!G25</f>
        <v>0</v>
      </c>
      <c r="G62" s="98">
        <f>апрель!G25</f>
        <v>0</v>
      </c>
      <c r="H62" s="98">
        <f>май!G25</f>
        <v>8614.82</v>
      </c>
      <c r="I62" s="98">
        <f>июнь!G29</f>
        <v>8625.0546</v>
      </c>
      <c r="J62" s="99">
        <f>июль!G25</f>
        <v>8625.0546</v>
      </c>
      <c r="K62" s="99">
        <f>август!G29</f>
        <v>8625.0546</v>
      </c>
      <c r="L62" s="99">
        <f>сентябрь!G28</f>
        <v>8625.0546</v>
      </c>
      <c r="M62" s="99">
        <f>октябрь!G28</f>
        <v>8625.0546</v>
      </c>
      <c r="N62" s="102">
        <f>'ноябрь '!G28</f>
        <v>8625.0546</v>
      </c>
      <c r="O62" s="102">
        <f>декабрь!G28</f>
        <v>8625.0546</v>
      </c>
      <c r="P62" s="98">
        <f t="shared" si="11"/>
        <v>68990.20220000001</v>
      </c>
      <c r="Q62" s="99"/>
      <c r="R62" s="121">
        <f t="shared" si="12"/>
        <v>68990.20220000001</v>
      </c>
      <c r="S62" s="161"/>
    </row>
    <row r="63" spans="1:19" s="162" customFormat="1" ht="15">
      <c r="A63" s="163">
        <v>5</v>
      </c>
      <c r="B63" s="122" t="s">
        <v>103</v>
      </c>
      <c r="C63" s="124"/>
      <c r="D63" s="98">
        <f>январь!G27</f>
        <v>0</v>
      </c>
      <c r="E63" s="136">
        <f>февраль!G26</f>
        <v>0</v>
      </c>
      <c r="F63" s="98">
        <f>март!G26</f>
        <v>0</v>
      </c>
      <c r="G63" s="98">
        <f>апрель!G26</f>
        <v>0</v>
      </c>
      <c r="H63" s="98">
        <f>май!G26</f>
        <v>1515.36</v>
      </c>
      <c r="I63" s="98">
        <f>июнь!G30</f>
        <v>1517.16</v>
      </c>
      <c r="J63" s="99">
        <f>июль!G26</f>
        <v>1517.16</v>
      </c>
      <c r="K63" s="99">
        <f>август!G30</f>
        <v>1517.16</v>
      </c>
      <c r="L63" s="99">
        <f>сентябрь!G29</f>
        <v>1517.16</v>
      </c>
      <c r="M63" s="99">
        <f>октябрь!G29</f>
        <v>1517.16</v>
      </c>
      <c r="N63" s="102">
        <f>'ноябрь '!G29</f>
        <v>1517.16</v>
      </c>
      <c r="O63" s="102">
        <f>декабрь!G29</f>
        <v>1517.16</v>
      </c>
      <c r="P63" s="98">
        <f t="shared" si="11"/>
        <v>12135.48</v>
      </c>
      <c r="Q63" s="98"/>
      <c r="R63" s="121">
        <f t="shared" si="12"/>
        <v>12135.48</v>
      </c>
      <c r="S63" s="161"/>
    </row>
    <row r="64" spans="1:19" s="162" customFormat="1" ht="15">
      <c r="A64" s="163">
        <v>6</v>
      </c>
      <c r="B64" s="122" t="s">
        <v>104</v>
      </c>
      <c r="C64" s="124"/>
      <c r="D64" s="98">
        <f>январь!G28</f>
        <v>0</v>
      </c>
      <c r="E64" s="136">
        <f>февраль!G27</f>
        <v>0</v>
      </c>
      <c r="F64" s="98">
        <f>март!G27</f>
        <v>0</v>
      </c>
      <c r="G64" s="98">
        <f>апрель!G27</f>
        <v>0</v>
      </c>
      <c r="H64" s="98">
        <f>май!G27</f>
        <v>378.84</v>
      </c>
      <c r="I64" s="98">
        <f>июнь!G31</f>
        <v>379.29</v>
      </c>
      <c r="J64" s="99">
        <f>июль!G27</f>
        <v>379.29</v>
      </c>
      <c r="K64" s="99">
        <f>август!G31</f>
        <v>379.29</v>
      </c>
      <c r="L64" s="99">
        <f>сентябрь!G30</f>
        <v>379.29</v>
      </c>
      <c r="M64" s="99">
        <f>октябрь!G30</f>
        <v>379.29</v>
      </c>
      <c r="N64" s="102">
        <f>'ноябрь '!G30</f>
        <v>379.29</v>
      </c>
      <c r="O64" s="102">
        <f>декабрь!G30</f>
        <v>379.29</v>
      </c>
      <c r="P64" s="98">
        <f t="shared" si="11"/>
        <v>3033.87</v>
      </c>
      <c r="Q64" s="98"/>
      <c r="R64" s="121">
        <f t="shared" si="12"/>
        <v>3033.87</v>
      </c>
      <c r="S64" s="161"/>
    </row>
    <row r="65" spans="1:19" s="134" customFormat="1" ht="15" hidden="1">
      <c r="A65" s="105"/>
      <c r="B65" s="132" t="s">
        <v>42</v>
      </c>
      <c r="C65" s="92"/>
      <c r="D65" s="98">
        <f>январь!G29</f>
        <v>0</v>
      </c>
      <c r="E65" s="136">
        <f>февраль!G28</f>
        <v>0</v>
      </c>
      <c r="F65" s="129">
        <f>март!E59</f>
        <v>0</v>
      </c>
      <c r="G65" s="129">
        <f>апрель!E59</f>
        <v>3.2</v>
      </c>
      <c r="H65" s="92">
        <f>май!E59</f>
        <v>154440.40000000002</v>
      </c>
      <c r="I65" s="92"/>
      <c r="J65" s="102"/>
      <c r="K65" s="102"/>
      <c r="L65" s="102"/>
      <c r="M65" s="102" t="e">
        <f>#REF!</f>
        <v>#REF!</v>
      </c>
      <c r="N65" s="102">
        <f>'ноябрь '!G31</f>
        <v>40052.6266</v>
      </c>
      <c r="O65" s="102"/>
      <c r="P65" s="92" t="e">
        <f t="shared" si="11"/>
        <v>#REF!</v>
      </c>
      <c r="Q65" s="92"/>
      <c r="R65" s="130" t="e">
        <f t="shared" si="12"/>
        <v>#REF!</v>
      </c>
      <c r="S65" s="133"/>
    </row>
    <row r="66" spans="1:19" s="140" customFormat="1" ht="64.5" customHeight="1">
      <c r="A66" s="137"/>
      <c r="B66" s="157" t="s">
        <v>125</v>
      </c>
      <c r="C66" s="156"/>
      <c r="D66" s="170">
        <f>D67+D70</f>
        <v>0</v>
      </c>
      <c r="E66" s="170">
        <f>E67+E70</f>
        <v>0</v>
      </c>
      <c r="F66" s="170">
        <f>F67+F70</f>
        <v>0</v>
      </c>
      <c r="G66" s="170">
        <f>G67+G70</f>
        <v>0</v>
      </c>
      <c r="H66" s="170">
        <f>H67+H70</f>
        <v>0</v>
      </c>
      <c r="I66" s="86">
        <f aca="true" t="shared" si="16" ref="I66:O66">I67+I70</f>
        <v>0</v>
      </c>
      <c r="J66" s="86">
        <f t="shared" si="16"/>
        <v>0</v>
      </c>
      <c r="K66" s="86">
        <f t="shared" si="16"/>
        <v>17518</v>
      </c>
      <c r="L66" s="86">
        <f t="shared" si="16"/>
        <v>0</v>
      </c>
      <c r="M66" s="86">
        <f t="shared" si="16"/>
        <v>49400</v>
      </c>
      <c r="N66" s="86">
        <f t="shared" si="16"/>
        <v>0</v>
      </c>
      <c r="O66" s="86">
        <f t="shared" si="16"/>
        <v>0</v>
      </c>
      <c r="P66" s="86">
        <f t="shared" si="11"/>
        <v>66918</v>
      </c>
      <c r="Q66" s="92"/>
      <c r="R66" s="125">
        <f t="shared" si="12"/>
        <v>66918</v>
      </c>
      <c r="S66" s="139"/>
    </row>
    <row r="67" spans="1:19" s="140" customFormat="1" ht="19.5" customHeight="1">
      <c r="A67" s="137"/>
      <c r="B67" s="118" t="s">
        <v>126</v>
      </c>
      <c r="C67" s="138"/>
      <c r="D67" s="131">
        <f>январь!E32</f>
        <v>0</v>
      </c>
      <c r="E67" s="131">
        <f>февраль!E32</f>
        <v>0</v>
      </c>
      <c r="F67" s="131">
        <f>март!E32</f>
        <v>0</v>
      </c>
      <c r="G67" s="131">
        <f>апрель!E32</f>
        <v>0</v>
      </c>
      <c r="H67" s="131">
        <f>май!E32</f>
        <v>0</v>
      </c>
      <c r="I67" s="86">
        <f>июнь!E36</f>
        <v>0</v>
      </c>
      <c r="J67" s="86">
        <f>июль!E33</f>
        <v>0</v>
      </c>
      <c r="K67" s="86">
        <f>август!E36</f>
        <v>0</v>
      </c>
      <c r="L67" s="86">
        <f>сентябрь!E35</f>
        <v>0</v>
      </c>
      <c r="M67" s="86">
        <f>M68+M69</f>
        <v>49400</v>
      </c>
      <c r="N67" s="86">
        <f>N68+N69</f>
        <v>0</v>
      </c>
      <c r="O67" s="86">
        <v>0</v>
      </c>
      <c r="P67" s="98">
        <f t="shared" si="11"/>
        <v>49400</v>
      </c>
      <c r="Q67" s="92"/>
      <c r="R67" s="125">
        <f t="shared" si="12"/>
        <v>49400</v>
      </c>
      <c r="S67" s="139"/>
    </row>
    <row r="68" spans="1:19" s="134" customFormat="1" ht="19.5" customHeight="1">
      <c r="A68" s="105"/>
      <c r="B68" s="168" t="s">
        <v>192</v>
      </c>
      <c r="C68" s="92"/>
      <c r="D68" s="129">
        <f>январь!G33</f>
        <v>0</v>
      </c>
      <c r="E68" s="129">
        <f>февраль!G32</f>
        <v>0</v>
      </c>
      <c r="F68" s="129">
        <f>март!E33</f>
        <v>0</v>
      </c>
      <c r="G68" s="129">
        <f>апрель!E33</f>
        <v>0</v>
      </c>
      <c r="H68" s="129">
        <f>май!E33</f>
        <v>0</v>
      </c>
      <c r="I68" s="92">
        <f>июнь!E37</f>
        <v>0</v>
      </c>
      <c r="J68" s="92">
        <f>июль!E34</f>
        <v>0</v>
      </c>
      <c r="K68" s="92">
        <f>август!E37</f>
        <v>0</v>
      </c>
      <c r="L68" s="92">
        <f>сентябрь!E36</f>
        <v>0</v>
      </c>
      <c r="M68" s="92">
        <f>октябрь!E35</f>
        <v>29400</v>
      </c>
      <c r="N68" s="92">
        <f>'ноябрь '!E34</f>
        <v>0</v>
      </c>
      <c r="O68" s="92">
        <v>0</v>
      </c>
      <c r="P68" s="92">
        <f t="shared" si="11"/>
        <v>29400</v>
      </c>
      <c r="Q68" s="92"/>
      <c r="R68" s="130">
        <f t="shared" si="12"/>
        <v>29400</v>
      </c>
      <c r="S68" s="133"/>
    </row>
    <row r="69" spans="1:19" s="134" customFormat="1" ht="19.5" customHeight="1">
      <c r="A69" s="105"/>
      <c r="B69" s="168" t="s">
        <v>194</v>
      </c>
      <c r="C69" s="92"/>
      <c r="D69" s="129">
        <f>январь!G34</f>
        <v>0</v>
      </c>
      <c r="E69" s="129">
        <f>февраль!G29</f>
        <v>0</v>
      </c>
      <c r="F69" s="129">
        <f>март!E34</f>
        <v>0</v>
      </c>
      <c r="G69" s="129">
        <f>апрель!E34</f>
        <v>0</v>
      </c>
      <c r="H69" s="129">
        <f>май!E34</f>
        <v>0</v>
      </c>
      <c r="I69" s="92">
        <f>июнь!E38</f>
        <v>0</v>
      </c>
      <c r="J69" s="92">
        <f>июль!E35</f>
        <v>0</v>
      </c>
      <c r="K69" s="92">
        <f>август!E38</f>
        <v>0</v>
      </c>
      <c r="L69" s="92">
        <f>сентябрь!E34</f>
        <v>0</v>
      </c>
      <c r="M69" s="92">
        <f>октябрь!E36</f>
        <v>20000</v>
      </c>
      <c r="N69" s="92">
        <v>0</v>
      </c>
      <c r="O69" s="92">
        <v>0</v>
      </c>
      <c r="P69" s="92">
        <f t="shared" si="11"/>
        <v>20000</v>
      </c>
      <c r="Q69" s="92"/>
      <c r="R69" s="130">
        <f t="shared" si="12"/>
        <v>20000</v>
      </c>
      <c r="S69" s="133"/>
    </row>
    <row r="70" spans="1:19" s="140" customFormat="1" ht="30">
      <c r="A70" s="137"/>
      <c r="B70" s="118" t="s">
        <v>134</v>
      </c>
      <c r="C70" s="138"/>
      <c r="D70" s="131">
        <f>январь!G35</f>
        <v>0</v>
      </c>
      <c r="E70" s="131">
        <f>февраль!G34</f>
        <v>0</v>
      </c>
      <c r="F70" s="131">
        <f>март!E35</f>
        <v>0</v>
      </c>
      <c r="G70" s="131">
        <f>апрель!E35</f>
        <v>0</v>
      </c>
      <c r="H70" s="131">
        <f>май!E35</f>
        <v>0</v>
      </c>
      <c r="I70" s="86">
        <f>июнь!E39</f>
        <v>0</v>
      </c>
      <c r="J70" s="86">
        <f>июль!E36</f>
        <v>0</v>
      </c>
      <c r="K70" s="86">
        <f>август!G41</f>
        <v>17518</v>
      </c>
      <c r="L70" s="86">
        <f>сентябрь!E41</f>
        <v>0</v>
      </c>
      <c r="M70" s="86">
        <f>октябрь!E41</f>
        <v>0</v>
      </c>
      <c r="N70" s="86">
        <f>октябрь!F41</f>
        <v>0</v>
      </c>
      <c r="O70" s="86">
        <f>октябрь!G41</f>
        <v>0</v>
      </c>
      <c r="P70" s="86">
        <f t="shared" si="11"/>
        <v>17518</v>
      </c>
      <c r="Q70" s="86">
        <f>P70</f>
        <v>17518</v>
      </c>
      <c r="R70" s="125">
        <f t="shared" si="12"/>
        <v>0</v>
      </c>
      <c r="S70" s="139"/>
    </row>
    <row r="71" spans="1:19" s="134" customFormat="1" ht="15">
      <c r="A71" s="105"/>
      <c r="B71" s="165"/>
      <c r="C71" s="92"/>
      <c r="D71" s="129">
        <f>январь!G36</f>
        <v>0</v>
      </c>
      <c r="E71" s="129">
        <f>февраль!G35</f>
        <v>0</v>
      </c>
      <c r="F71" s="129">
        <f>март!E35</f>
        <v>0</v>
      </c>
      <c r="G71" s="129">
        <f>апрель!E36</f>
        <v>0</v>
      </c>
      <c r="H71" s="129">
        <f>май!E36</f>
        <v>0</v>
      </c>
      <c r="I71" s="92">
        <f>июнь!E40</f>
        <v>0</v>
      </c>
      <c r="J71" s="92">
        <f>июль!E37</f>
        <v>0</v>
      </c>
      <c r="K71" s="92">
        <f>август!E40</f>
        <v>0</v>
      </c>
      <c r="L71" s="92">
        <f>сентябрь!E39</f>
        <v>0</v>
      </c>
      <c r="M71" s="92">
        <f>октябрь!E39</f>
        <v>0</v>
      </c>
      <c r="N71" s="92">
        <v>0</v>
      </c>
      <c r="O71" s="92">
        <v>0</v>
      </c>
      <c r="P71" s="92">
        <f t="shared" si="11"/>
        <v>0</v>
      </c>
      <c r="Q71" s="92"/>
      <c r="R71" s="130">
        <f t="shared" si="12"/>
        <v>0</v>
      </c>
      <c r="S71" s="133"/>
    </row>
    <row r="72" spans="1:19" s="134" customFormat="1" ht="15">
      <c r="A72" s="105"/>
      <c r="B72" s="169"/>
      <c r="C72" s="92"/>
      <c r="D72" s="129">
        <f>январь!G37</f>
        <v>0</v>
      </c>
      <c r="E72" s="129">
        <f>февраль!G36</f>
        <v>0</v>
      </c>
      <c r="F72" s="129">
        <f>март!E36</f>
        <v>0</v>
      </c>
      <c r="G72" s="129">
        <f>апрель!E37</f>
        <v>0</v>
      </c>
      <c r="H72" s="129">
        <f>май!E37</f>
        <v>0</v>
      </c>
      <c r="I72" s="92">
        <f>июнь!E41</f>
        <v>0</v>
      </c>
      <c r="J72" s="92">
        <f>июль!E38</f>
        <v>0</v>
      </c>
      <c r="K72" s="92">
        <f>август!E41</f>
        <v>0</v>
      </c>
      <c r="L72" s="92">
        <f>сентябрь!E41</f>
        <v>0</v>
      </c>
      <c r="M72" s="92">
        <f>октябрь!E41</f>
        <v>0</v>
      </c>
      <c r="N72" s="92">
        <v>0</v>
      </c>
      <c r="O72" s="92">
        <v>0</v>
      </c>
      <c r="P72" s="92">
        <f t="shared" si="11"/>
        <v>0</v>
      </c>
      <c r="Q72" s="92"/>
      <c r="R72" s="130">
        <f t="shared" si="12"/>
        <v>0</v>
      </c>
      <c r="S72" s="133"/>
    </row>
    <row r="73" spans="1:19" s="140" customFormat="1" ht="17.25" customHeight="1">
      <c r="A73" s="137"/>
      <c r="B73" s="135" t="s">
        <v>35</v>
      </c>
      <c r="C73" s="131"/>
      <c r="D73" s="131">
        <f>январь!E44</f>
        <v>0</v>
      </c>
      <c r="E73" s="131">
        <f>февраль!E43</f>
        <v>0</v>
      </c>
      <c r="F73" s="131">
        <f>март!E43</f>
        <v>0</v>
      </c>
      <c r="G73" s="86">
        <f>апрель!E43</f>
        <v>0</v>
      </c>
      <c r="H73" s="86">
        <f>май!E43</f>
        <v>5490.72</v>
      </c>
      <c r="I73" s="86">
        <f>июнь!G47</f>
        <v>5490.72</v>
      </c>
      <c r="J73" s="86">
        <f>июль!G44</f>
        <v>5490.72</v>
      </c>
      <c r="K73" s="86">
        <f>август!E47</f>
        <v>5490.72</v>
      </c>
      <c r="L73" s="86">
        <f>сентябрь!E46</f>
        <v>5490.72</v>
      </c>
      <c r="M73" s="86">
        <f>октябрь!E46</f>
        <v>5490.72</v>
      </c>
      <c r="N73" s="86">
        <f>'ноябрь '!G46</f>
        <v>5490.72</v>
      </c>
      <c r="O73" s="86">
        <f>декабрь!G46</f>
        <v>5490.72</v>
      </c>
      <c r="P73" s="86">
        <f>SUM(D73:O73)</f>
        <v>43925.76</v>
      </c>
      <c r="Q73" s="86">
        <f>P73-O73</f>
        <v>38435.04</v>
      </c>
      <c r="R73" s="125">
        <f>C73+P73-Q73</f>
        <v>5490.720000000001</v>
      </c>
      <c r="S73" s="139"/>
    </row>
    <row r="74" spans="1:21" s="88" customFormat="1" ht="14.25">
      <c r="A74" s="106"/>
      <c r="B74" s="85" t="s">
        <v>105</v>
      </c>
      <c r="C74" s="86">
        <f aca="true" t="shared" si="17" ref="C74:O74">C64+C63+C62+C61+C58+C55+C38+C66+C73</f>
        <v>0</v>
      </c>
      <c r="D74" s="86">
        <f t="shared" si="17"/>
        <v>0</v>
      </c>
      <c r="E74" s="86">
        <f t="shared" si="17"/>
        <v>0</v>
      </c>
      <c r="F74" s="86">
        <f t="shared" si="17"/>
        <v>0</v>
      </c>
      <c r="G74" s="86">
        <f t="shared" si="17"/>
        <v>3.2</v>
      </c>
      <c r="H74" s="86">
        <f t="shared" si="17"/>
        <v>68429.78</v>
      </c>
      <c r="I74" s="86">
        <f t="shared" si="17"/>
        <v>75282.6666</v>
      </c>
      <c r="J74" s="86">
        <f t="shared" si="17"/>
        <v>67985.8266</v>
      </c>
      <c r="K74" s="86">
        <f t="shared" si="17"/>
        <v>86881.17659999999</v>
      </c>
      <c r="L74" s="86">
        <f t="shared" si="17"/>
        <v>69314.1266</v>
      </c>
      <c r="M74" s="86">
        <f t="shared" si="17"/>
        <v>117869.0866</v>
      </c>
      <c r="N74" s="86">
        <f t="shared" si="17"/>
        <v>72032.9166</v>
      </c>
      <c r="O74" s="86">
        <f t="shared" si="17"/>
        <v>78074.50660000001</v>
      </c>
      <c r="P74" s="86">
        <f>SUM(D74:O74)</f>
        <v>635873.2862</v>
      </c>
      <c r="Q74" s="86">
        <f>Q64+Q63+Q62+Q61+Q58+Q55+Q38+Q66+Q73</f>
        <v>38435.04</v>
      </c>
      <c r="R74" s="125">
        <f>C74+P74-Q74</f>
        <v>597438.2461999999</v>
      </c>
      <c r="S74" s="87"/>
      <c r="U74" s="87" t="e">
        <f>#REF!-#REF!</f>
        <v>#REF!</v>
      </c>
    </row>
    <row r="75" spans="2:20" s="107" customFormat="1" ht="15">
      <c r="B75" s="107" t="s">
        <v>79</v>
      </c>
      <c r="C75" s="98"/>
      <c r="D75" s="98">
        <f aca="true" t="shared" si="18" ref="D75:Q75">D17-D74</f>
        <v>0</v>
      </c>
      <c r="E75" s="98">
        <f t="shared" si="18"/>
        <v>0</v>
      </c>
      <c r="F75" s="98">
        <f t="shared" si="18"/>
        <v>0</v>
      </c>
      <c r="G75" s="98">
        <f t="shared" si="18"/>
        <v>-3.2</v>
      </c>
      <c r="H75" s="98">
        <f t="shared" si="18"/>
        <v>18227.089999999997</v>
      </c>
      <c r="I75" s="98">
        <f t="shared" si="18"/>
        <v>16419.55339999999</v>
      </c>
      <c r="J75" s="98">
        <f t="shared" si="18"/>
        <v>22181.553400000004</v>
      </c>
      <c r="K75" s="98">
        <f t="shared" si="18"/>
        <v>1526.8534000000072</v>
      </c>
      <c r="L75" s="98">
        <f t="shared" si="18"/>
        <v>21584.583400000003</v>
      </c>
      <c r="M75" s="98">
        <f t="shared" si="18"/>
        <v>-47064.37659999999</v>
      </c>
      <c r="N75" s="98">
        <f t="shared" si="18"/>
        <v>21361.983400000012</v>
      </c>
      <c r="O75" s="98">
        <f t="shared" si="18"/>
        <v>2946.493399999992</v>
      </c>
      <c r="P75" s="98">
        <f t="shared" si="18"/>
        <v>57180.53380000009</v>
      </c>
      <c r="Q75" s="98">
        <f t="shared" si="18"/>
        <v>528276.11</v>
      </c>
      <c r="R75" s="125">
        <f>C75+P75-Q75</f>
        <v>-471095.5761999999</v>
      </c>
      <c r="S75" s="108"/>
      <c r="T75" s="108" t="e">
        <f>S75-#REF!</f>
        <v>#REF!</v>
      </c>
    </row>
    <row r="76" spans="2:19" s="54" customFormat="1" ht="15.75">
      <c r="B76" s="191" t="s">
        <v>67</v>
      </c>
      <c r="C76" s="192"/>
      <c r="D76" s="66"/>
      <c r="E76" s="66"/>
      <c r="F76" s="66"/>
      <c r="G76" s="66"/>
      <c r="H76" s="66"/>
      <c r="I76" s="66"/>
      <c r="J76" s="67"/>
      <c r="K76" s="67"/>
      <c r="L76" s="67"/>
      <c r="M76" s="67"/>
      <c r="N76" s="67"/>
      <c r="O76" s="67"/>
      <c r="P76" s="98"/>
      <c r="Q76" s="67"/>
      <c r="R76" s="121"/>
      <c r="S76" s="58"/>
    </row>
    <row r="77" spans="1:18" ht="15">
      <c r="A77" s="96"/>
      <c r="B77" s="97" t="s">
        <v>36</v>
      </c>
      <c r="C77" s="98"/>
      <c r="D77" s="98">
        <f>январь!E48</f>
        <v>0</v>
      </c>
      <c r="E77" s="98">
        <f>февраль!E47</f>
        <v>0</v>
      </c>
      <c r="F77" s="98">
        <f>март!E47</f>
        <v>0</v>
      </c>
      <c r="G77" s="98">
        <f>апрель!E47</f>
        <v>0</v>
      </c>
      <c r="H77" s="98">
        <f>май!E47</f>
        <v>27700.65</v>
      </c>
      <c r="I77" s="98">
        <f>июнь!E51</f>
        <v>27871.07</v>
      </c>
      <c r="J77" s="99">
        <f>июль!E48</f>
        <v>27238.25</v>
      </c>
      <c r="K77" s="99">
        <f>август!E51</f>
        <v>29536.65</v>
      </c>
      <c r="L77" s="99">
        <f>сентябрь!E50</f>
        <v>32100.25</v>
      </c>
      <c r="M77" s="99">
        <f>октябрь!E50</f>
        <v>35282.65</v>
      </c>
      <c r="N77" s="99">
        <f>'ноябрь '!E50</f>
        <v>34575.45</v>
      </c>
      <c r="O77" s="99">
        <f>декабрь!E50</f>
        <v>36785.45</v>
      </c>
      <c r="P77" s="98">
        <f t="shared" si="11"/>
        <v>251090.41999999998</v>
      </c>
      <c r="Q77" s="99">
        <f>Q24+C77</f>
        <v>179062.94</v>
      </c>
      <c r="R77" s="121">
        <f t="shared" si="12"/>
        <v>72027.47999999998</v>
      </c>
    </row>
    <row r="78" spans="1:22" ht="15">
      <c r="A78" s="96"/>
      <c r="B78" s="97" t="s">
        <v>71</v>
      </c>
      <c r="C78" s="98"/>
      <c r="D78" s="98">
        <f>январь!E49</f>
        <v>0</v>
      </c>
      <c r="E78" s="98">
        <f>февраль!E48</f>
        <v>0</v>
      </c>
      <c r="F78" s="98">
        <f>март!E48</f>
        <v>0</v>
      </c>
      <c r="G78" s="98">
        <f>апрель!E48</f>
        <v>0</v>
      </c>
      <c r="H78" s="98">
        <f>май!E48</f>
        <v>23548.95</v>
      </c>
      <c r="I78" s="98">
        <f>июнь!E52</f>
        <v>0</v>
      </c>
      <c r="J78" s="99">
        <f>июль!E49</f>
        <v>0</v>
      </c>
      <c r="K78" s="99">
        <f>август!E52</f>
        <v>0</v>
      </c>
      <c r="L78" s="99">
        <f>сентябрь!E51</f>
        <v>5566.31</v>
      </c>
      <c r="M78" s="99">
        <f>октябрь!E51</f>
        <v>45742.15</v>
      </c>
      <c r="N78" s="99">
        <f>'ноябрь '!E51</f>
        <v>62748.16</v>
      </c>
      <c r="O78" s="99">
        <f>декабрь!E51</f>
        <v>103508.36</v>
      </c>
      <c r="P78" s="98">
        <f t="shared" si="11"/>
        <v>241113.93</v>
      </c>
      <c r="Q78" s="99" t="e">
        <f>Q26+#REF!</f>
        <v>#REF!</v>
      </c>
      <c r="R78" s="121" t="e">
        <f t="shared" si="12"/>
        <v>#REF!</v>
      </c>
      <c r="S78" s="100">
        <f>P80+P81</f>
        <v>153589.7</v>
      </c>
      <c r="U78" s="109" t="e">
        <f>#REF!+#REF!</f>
        <v>#REF!</v>
      </c>
      <c r="V78" s="103" t="e">
        <f>U78*5%</f>
        <v>#REF!</v>
      </c>
    </row>
    <row r="79" spans="1:18" ht="15">
      <c r="A79" s="96"/>
      <c r="B79" s="97" t="s">
        <v>38</v>
      </c>
      <c r="C79" s="98"/>
      <c r="D79" s="98">
        <f>январь!E50</f>
        <v>0</v>
      </c>
      <c r="E79" s="98">
        <f>февраль!E49</f>
        <v>0</v>
      </c>
      <c r="F79" s="98">
        <f>март!E49</f>
        <v>0</v>
      </c>
      <c r="G79" s="98">
        <f>апрель!E49</f>
        <v>0</v>
      </c>
      <c r="H79" s="98">
        <f>май!E49</f>
        <v>16718.76</v>
      </c>
      <c r="I79" s="98">
        <f>июнь!E53</f>
        <v>15219.49</v>
      </c>
      <c r="J79" s="99">
        <f>июль!E50</f>
        <v>15584.96</v>
      </c>
      <c r="K79" s="99">
        <f>август!E53</f>
        <v>10201.58</v>
      </c>
      <c r="L79" s="99">
        <f>сентябрь!E52</f>
        <v>18831.44</v>
      </c>
      <c r="M79" s="99">
        <f>октябрь!E52</f>
        <v>20564.19</v>
      </c>
      <c r="N79" s="99">
        <f>'ноябрь '!E52</f>
        <v>22177.55</v>
      </c>
      <c r="O79" s="99">
        <f>декабрь!E52</f>
        <v>21454.76</v>
      </c>
      <c r="P79" s="98">
        <f t="shared" si="11"/>
        <v>140752.73</v>
      </c>
      <c r="Q79" s="99" t="e">
        <f>Q27+#REF!+Q28</f>
        <v>#REF!</v>
      </c>
      <c r="R79" s="121" t="e">
        <f t="shared" si="12"/>
        <v>#REF!</v>
      </c>
    </row>
    <row r="80" spans="1:19" ht="15">
      <c r="A80" s="96" t="s">
        <v>61</v>
      </c>
      <c r="B80" s="97" t="s">
        <v>74</v>
      </c>
      <c r="C80" s="98"/>
      <c r="D80" s="98">
        <f>январь!E51</f>
        <v>0</v>
      </c>
      <c r="E80" s="98">
        <f>февраль!E50</f>
        <v>0</v>
      </c>
      <c r="F80" s="98">
        <f>март!E50</f>
        <v>0</v>
      </c>
      <c r="G80" s="98">
        <f>апрель!E50</f>
        <v>0</v>
      </c>
      <c r="H80" s="98">
        <f>май!E50</f>
        <v>7972.27</v>
      </c>
      <c r="I80" s="98">
        <f>июнь!E54</f>
        <v>8422.19</v>
      </c>
      <c r="J80" s="99">
        <f>июль!E51</f>
        <v>9206.55</v>
      </c>
      <c r="K80" s="99">
        <f>август!E54</f>
        <v>9386.39</v>
      </c>
      <c r="L80" s="99">
        <f>сентябрь!E53</f>
        <v>9137.88</v>
      </c>
      <c r="M80" s="99">
        <f>октябрь!E53</f>
        <v>8668.4</v>
      </c>
      <c r="N80" s="99">
        <f>'ноябрь '!E53</f>
        <v>8855.45</v>
      </c>
      <c r="O80" s="99">
        <f>декабрь!E53</f>
        <v>8231.28</v>
      </c>
      <c r="P80" s="98">
        <f t="shared" si="11"/>
        <v>69880.40999999999</v>
      </c>
      <c r="Q80" s="99" t="e">
        <f>Q20+#REF!+Q21</f>
        <v>#REF!</v>
      </c>
      <c r="R80" s="121" t="e">
        <f t="shared" si="12"/>
        <v>#REF!</v>
      </c>
      <c r="S80" s="100">
        <f>P78+P79</f>
        <v>381866.66000000003</v>
      </c>
    </row>
    <row r="81" spans="1:18" ht="15">
      <c r="A81" s="96"/>
      <c r="B81" s="97" t="s">
        <v>40</v>
      </c>
      <c r="C81" s="98"/>
      <c r="D81" s="98">
        <f>январь!E52</f>
        <v>0</v>
      </c>
      <c r="E81" s="98">
        <f>февраль!E51</f>
        <v>0</v>
      </c>
      <c r="F81" s="98">
        <f>март!E51</f>
        <v>0</v>
      </c>
      <c r="G81" s="98">
        <f>апрель!E51</f>
        <v>0</v>
      </c>
      <c r="H81" s="98">
        <f>май!E51</f>
        <v>10069.99</v>
      </c>
      <c r="I81" s="98">
        <f>июнь!E55</f>
        <v>11527.59</v>
      </c>
      <c r="J81" s="99">
        <f>июль!E52</f>
        <v>9777.68</v>
      </c>
      <c r="K81" s="99">
        <f>август!E55</f>
        <v>9159.28</v>
      </c>
      <c r="L81" s="99">
        <f>сентябрь!E54</f>
        <v>11522.19</v>
      </c>
      <c r="M81" s="99">
        <f>октябрь!E54</f>
        <v>10205.31</v>
      </c>
      <c r="N81" s="99">
        <f>'ноябрь '!E54</f>
        <v>11016.76</v>
      </c>
      <c r="O81" s="99">
        <f>декабрь!E54</f>
        <v>10430.49</v>
      </c>
      <c r="P81" s="98">
        <f t="shared" si="11"/>
        <v>83709.29000000001</v>
      </c>
      <c r="Q81" s="99" t="e">
        <f>Q22+#REF!+Q23</f>
        <v>#REF!</v>
      </c>
      <c r="R81" s="121" t="e">
        <f t="shared" si="12"/>
        <v>#REF!</v>
      </c>
    </row>
    <row r="82" spans="1:19" s="88" customFormat="1" ht="14.25">
      <c r="A82" s="106"/>
      <c r="B82" s="85" t="s">
        <v>106</v>
      </c>
      <c r="C82" s="86">
        <f aca="true" t="shared" si="19" ref="C82:Q82">SUM(C77:C81)</f>
        <v>0</v>
      </c>
      <c r="D82" s="86">
        <f>SUM(D77:D81)</f>
        <v>0</v>
      </c>
      <c r="E82" s="86">
        <f t="shared" si="19"/>
        <v>0</v>
      </c>
      <c r="F82" s="86">
        <f t="shared" si="19"/>
        <v>0</v>
      </c>
      <c r="G82" s="86">
        <f t="shared" si="19"/>
        <v>0</v>
      </c>
      <c r="H82" s="86">
        <f t="shared" si="19"/>
        <v>86010.62000000001</v>
      </c>
      <c r="I82" s="86">
        <f t="shared" si="19"/>
        <v>63040.34</v>
      </c>
      <c r="J82" s="86">
        <f t="shared" si="19"/>
        <v>61807.439999999995</v>
      </c>
      <c r="K82" s="86">
        <f t="shared" si="19"/>
        <v>58283.9</v>
      </c>
      <c r="L82" s="86">
        <f t="shared" si="19"/>
        <v>77158.07</v>
      </c>
      <c r="M82" s="86">
        <f t="shared" si="19"/>
        <v>120462.7</v>
      </c>
      <c r="N82" s="86">
        <f t="shared" si="19"/>
        <v>139373.37</v>
      </c>
      <c r="O82" s="86">
        <f t="shared" si="19"/>
        <v>180410.34</v>
      </c>
      <c r="P82" s="86">
        <f t="shared" si="11"/>
        <v>786546.78</v>
      </c>
      <c r="Q82" s="86" t="e">
        <f t="shared" si="19"/>
        <v>#REF!</v>
      </c>
      <c r="R82" s="125" t="e">
        <f t="shared" si="12"/>
        <v>#REF!</v>
      </c>
      <c r="S82" s="87"/>
    </row>
    <row r="83" spans="2:20" s="107" customFormat="1" ht="15">
      <c r="B83" s="107" t="s">
        <v>79</v>
      </c>
      <c r="C83" s="108">
        <f aca="true" t="shared" si="20" ref="C83:Q83">C29-C82</f>
        <v>0</v>
      </c>
      <c r="D83" s="108">
        <f t="shared" si="20"/>
        <v>0</v>
      </c>
      <c r="E83" s="108">
        <f t="shared" si="20"/>
        <v>0</v>
      </c>
      <c r="F83" s="108">
        <f t="shared" si="20"/>
        <v>0</v>
      </c>
      <c r="G83" s="108">
        <f t="shared" si="20"/>
        <v>0</v>
      </c>
      <c r="H83" s="108">
        <f t="shared" si="20"/>
        <v>1225.979999999996</v>
      </c>
      <c r="I83" s="108">
        <f t="shared" si="20"/>
        <v>7544.6600000000035</v>
      </c>
      <c r="J83" s="108">
        <f t="shared" si="20"/>
        <v>94103.58000000002</v>
      </c>
      <c r="K83" s="108">
        <f t="shared" si="20"/>
        <v>-376857.14</v>
      </c>
      <c r="L83" s="108">
        <f t="shared" si="20"/>
        <v>-4862.540000000008</v>
      </c>
      <c r="M83" s="108">
        <f t="shared" si="20"/>
        <v>-9352.309999999998</v>
      </c>
      <c r="N83" s="108">
        <f>N29-N82</f>
        <v>363452.11000000004</v>
      </c>
      <c r="O83" s="108">
        <f t="shared" si="20"/>
        <v>-13639.879999999976</v>
      </c>
      <c r="P83" s="98">
        <f t="shared" si="11"/>
        <v>61614.46000000011</v>
      </c>
      <c r="Q83" s="108" t="e">
        <f t="shared" si="20"/>
        <v>#REF!</v>
      </c>
      <c r="R83" s="121" t="e">
        <f t="shared" si="12"/>
        <v>#REF!</v>
      </c>
      <c r="S83" s="108"/>
      <c r="T83" s="108" t="e">
        <f>S83-#REF!</f>
        <v>#REF!</v>
      </c>
    </row>
    <row r="84" spans="1:22" s="88" customFormat="1" ht="15">
      <c r="A84" s="106"/>
      <c r="B84" s="85" t="s">
        <v>80</v>
      </c>
      <c r="C84" s="86">
        <f aca="true" t="shared" si="21" ref="C84:Q84">C74+C82</f>
        <v>0</v>
      </c>
      <c r="D84" s="86">
        <f>D74+D82</f>
        <v>0</v>
      </c>
      <c r="E84" s="86">
        <f t="shared" si="21"/>
        <v>0</v>
      </c>
      <c r="F84" s="86">
        <f t="shared" si="21"/>
        <v>0</v>
      </c>
      <c r="G84" s="86">
        <f t="shared" si="21"/>
        <v>3.2</v>
      </c>
      <c r="H84" s="86">
        <f t="shared" si="21"/>
        <v>154440.40000000002</v>
      </c>
      <c r="I84" s="86">
        <f t="shared" si="21"/>
        <v>138323.0066</v>
      </c>
      <c r="J84" s="86">
        <f t="shared" si="21"/>
        <v>129793.2666</v>
      </c>
      <c r="K84" s="86">
        <f t="shared" si="21"/>
        <v>145165.0766</v>
      </c>
      <c r="L84" s="86">
        <f t="shared" si="21"/>
        <v>146472.19660000002</v>
      </c>
      <c r="M84" s="86">
        <f t="shared" si="21"/>
        <v>238331.7866</v>
      </c>
      <c r="N84" s="86">
        <f t="shared" si="21"/>
        <v>211406.2866</v>
      </c>
      <c r="O84" s="86">
        <f t="shared" si="21"/>
        <v>258484.8466</v>
      </c>
      <c r="P84" s="98">
        <f t="shared" si="11"/>
        <v>1422420.0662</v>
      </c>
      <c r="Q84" s="86" t="e">
        <f t="shared" si="21"/>
        <v>#REF!</v>
      </c>
      <c r="R84" s="121" t="e">
        <f t="shared" si="12"/>
        <v>#REF!</v>
      </c>
      <c r="S84" s="87"/>
      <c r="V84" s="87">
        <v>1999832.440690475</v>
      </c>
    </row>
    <row r="85" spans="2:20" s="107" customFormat="1" ht="30">
      <c r="B85" s="110" t="s">
        <v>81</v>
      </c>
      <c r="C85" s="111"/>
      <c r="D85" s="111">
        <f aca="true" t="shared" si="22" ref="D85:O85">D75+D83</f>
        <v>0</v>
      </c>
      <c r="E85" s="111">
        <f t="shared" si="22"/>
        <v>0</v>
      </c>
      <c r="F85" s="111">
        <f t="shared" si="22"/>
        <v>0</v>
      </c>
      <c r="G85" s="111">
        <f t="shared" si="22"/>
        <v>-3.2</v>
      </c>
      <c r="H85" s="111">
        <f t="shared" si="22"/>
        <v>19453.069999999992</v>
      </c>
      <c r="I85" s="111">
        <f t="shared" si="22"/>
        <v>23964.213399999993</v>
      </c>
      <c r="J85" s="111">
        <f t="shared" si="22"/>
        <v>116285.13340000002</v>
      </c>
      <c r="K85" s="111">
        <f t="shared" si="22"/>
        <v>-375330.2866</v>
      </c>
      <c r="L85" s="111">
        <f t="shared" si="22"/>
        <v>16722.043399999995</v>
      </c>
      <c r="M85" s="111">
        <f t="shared" si="22"/>
        <v>-56416.686599999986</v>
      </c>
      <c r="N85" s="111">
        <f t="shared" si="22"/>
        <v>384814.09340000007</v>
      </c>
      <c r="O85" s="111">
        <f t="shared" si="22"/>
        <v>-10693.386599999983</v>
      </c>
      <c r="P85" s="111">
        <f>P83+P75</f>
        <v>118794.9938000002</v>
      </c>
      <c r="Q85" s="111" t="e">
        <f>Q75+Q83</f>
        <v>#REF!</v>
      </c>
      <c r="R85" s="111"/>
      <c r="S85" s="108"/>
      <c r="T85" s="108" t="e">
        <f>S85-#REF!</f>
        <v>#REF!</v>
      </c>
    </row>
    <row r="86" spans="2:20" s="107" customFormat="1" ht="15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08"/>
      <c r="T86" s="108"/>
    </row>
    <row r="87" spans="2:19" ht="12.75">
      <c r="B87" s="101" t="s">
        <v>82</v>
      </c>
      <c r="C87" s="100"/>
      <c r="D87" s="100">
        <v>-3553.17</v>
      </c>
      <c r="E87" s="100">
        <v>-12212.52</v>
      </c>
      <c r="F87" s="100">
        <v>2746.0299999999843</v>
      </c>
      <c r="G87" s="100">
        <v>42622.84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1"/>
    </row>
    <row r="88" spans="2:19" ht="12.75">
      <c r="B88" s="101" t="s">
        <v>37</v>
      </c>
      <c r="C88" s="100"/>
      <c r="D88" s="100"/>
      <c r="E88" s="100"/>
      <c r="F88" s="100"/>
      <c r="G88" s="100"/>
      <c r="H88" s="100" t="s">
        <v>61</v>
      </c>
      <c r="I88" s="100"/>
      <c r="J88" s="100"/>
      <c r="K88" s="100"/>
      <c r="L88" s="100"/>
      <c r="M88" s="100"/>
      <c r="N88" s="100"/>
      <c r="O88" s="100"/>
      <c r="P88" s="108" t="e">
        <f>P78-#REF!-P26</f>
        <v>#REF!</v>
      </c>
      <c r="Q88" s="108" t="e">
        <f>P88/2429.5</f>
        <v>#REF!</v>
      </c>
      <c r="R88" s="100"/>
      <c r="S88" s="101"/>
    </row>
    <row r="89" spans="2:19" ht="12.75">
      <c r="B89" s="101" t="s">
        <v>73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14">
        <f>N80-N56-N41</f>
        <v>2617.1800000000007</v>
      </c>
      <c r="O89" s="114"/>
      <c r="P89" s="114" t="e">
        <f>P79-#REF!-P28-P27</f>
        <v>#REF!</v>
      </c>
      <c r="Q89" s="114"/>
      <c r="R89" s="114"/>
      <c r="S89" s="101"/>
    </row>
    <row r="90" spans="2:19" ht="12.75">
      <c r="B90" s="101" t="s">
        <v>83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14">
        <f>N81-N57-N36</f>
        <v>10971.76</v>
      </c>
      <c r="O90" s="114"/>
      <c r="P90" s="114" t="e">
        <f>P80-#REF!-P21-P20</f>
        <v>#REF!</v>
      </c>
      <c r="Q90" s="114"/>
      <c r="R90" s="114"/>
      <c r="S90" s="101"/>
    </row>
    <row r="91" spans="2:19" ht="12.75">
      <c r="B91" s="101" t="s">
        <v>84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14" t="e">
        <f>N82-#REF!-N38</f>
        <v>#REF!</v>
      </c>
      <c r="O91" s="114"/>
      <c r="P91" s="114" t="e">
        <f>P81-#REF!-P23-P22</f>
        <v>#REF!</v>
      </c>
      <c r="Q91" s="114"/>
      <c r="R91" s="114"/>
      <c r="S91" s="101"/>
    </row>
    <row r="92" spans="2:19" ht="12.75">
      <c r="B92" s="101" t="s">
        <v>85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14" t="e">
        <f>N78-#REF!</f>
        <v>#REF!</v>
      </c>
      <c r="O92" s="114"/>
      <c r="P92" s="114">
        <f>P77-P25-P24</f>
        <v>21277.76999999996</v>
      </c>
      <c r="Q92" s="114"/>
      <c r="R92" s="114"/>
      <c r="S92" s="101"/>
    </row>
    <row r="94" spans="2:3" ht="12.75">
      <c r="B94" s="101" t="s">
        <v>86</v>
      </c>
      <c r="C94" s="101" t="s">
        <v>87</v>
      </c>
    </row>
    <row r="95" spans="17:18" ht="12.75">
      <c r="Q95" s="100"/>
      <c r="R95" s="100"/>
    </row>
    <row r="96" spans="2:3" ht="12.75">
      <c r="B96" s="101" t="s">
        <v>88</v>
      </c>
      <c r="C96" s="101" t="s">
        <v>89</v>
      </c>
    </row>
    <row r="99" spans="2:10" ht="12.75">
      <c r="B99" s="101" t="s">
        <v>71</v>
      </c>
      <c r="J99" s="100" t="e">
        <f>P78-#REF!-P26-S15</f>
        <v>#REF!</v>
      </c>
    </row>
    <row r="100" ht="12.75">
      <c r="J100" s="115" t="e">
        <f>J99/2895.2</f>
        <v>#REF!</v>
      </c>
    </row>
    <row r="101" spans="2:10" ht="12.75">
      <c r="B101" s="101" t="s">
        <v>90</v>
      </c>
      <c r="J101" s="100" t="e">
        <f>P79-#REF!-P27</f>
        <v>#REF!</v>
      </c>
    </row>
  </sheetData>
  <sheetProtection/>
  <mergeCells count="5">
    <mergeCell ref="B76:C76"/>
    <mergeCell ref="B1:R1"/>
    <mergeCell ref="B19:C19"/>
    <mergeCell ref="B35:R35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48" sqref="E48:E52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9.7109375" style="10" customWidth="1"/>
    <col min="8" max="8" width="7.28125" style="10" customWidth="1"/>
    <col min="9" max="16384" width="9.140625" style="10" customWidth="1"/>
  </cols>
  <sheetData>
    <row r="1" spans="1:5" s="2" customFormat="1" ht="15">
      <c r="A1" s="199" t="s">
        <v>0</v>
      </c>
      <c r="B1" s="199"/>
      <c r="C1" s="1" t="s">
        <v>110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151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148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3788.4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/>
      <c r="F13" s="19"/>
      <c r="G13" s="19">
        <f aca="true" t="shared" si="0" ref="G13:G28">E13+F13</f>
        <v>0</v>
      </c>
      <c r="H13" s="15"/>
    </row>
    <row r="14" spans="1:8" s="2" customFormat="1" ht="28.5" customHeight="1">
      <c r="A14" s="13"/>
      <c r="B14" s="118" t="s">
        <v>149</v>
      </c>
      <c r="C14" s="11"/>
      <c r="D14" s="15"/>
      <c r="E14" s="19"/>
      <c r="F14" s="19"/>
      <c r="G14" s="19">
        <f t="shared" si="0"/>
        <v>0</v>
      </c>
      <c r="H14" s="15"/>
    </row>
    <row r="15" spans="1:8" s="4" customFormat="1" ht="15">
      <c r="A15" s="37"/>
      <c r="B15" s="168" t="s">
        <v>141</v>
      </c>
      <c r="C15" s="126"/>
      <c r="D15" s="27"/>
      <c r="E15" s="28"/>
      <c r="F15" s="28"/>
      <c r="G15" s="28">
        <f>E15</f>
        <v>0</v>
      </c>
      <c r="H15" s="27"/>
    </row>
    <row r="16" spans="1:8" s="2" customFormat="1" ht="30" customHeight="1">
      <c r="A16" s="13" t="s">
        <v>19</v>
      </c>
      <c r="B16" s="118" t="s">
        <v>118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122" t="s">
        <v>16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5" t="s">
        <v>68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5" t="s">
        <v>69</v>
      </c>
      <c r="C19" s="11"/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5" t="s">
        <v>72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 customHeight="1">
      <c r="A21" s="13" t="s">
        <v>24</v>
      </c>
      <c r="B21" s="55" t="s">
        <v>70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25</v>
      </c>
      <c r="B22" s="122" t="s">
        <v>34</v>
      </c>
      <c r="C22" s="11" t="s">
        <v>12</v>
      </c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>
      <c r="A23" s="13" t="s">
        <v>98</v>
      </c>
      <c r="B23" s="122" t="s">
        <v>119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</row>
    <row r="24" spans="1:10" s="2" customFormat="1" ht="30">
      <c r="A24" s="13" t="s">
        <v>99</v>
      </c>
      <c r="B24" s="118" t="s">
        <v>120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  <c r="J24" s="2">
        <f>E24</f>
        <v>0</v>
      </c>
    </row>
    <row r="25" spans="1:8" s="2" customFormat="1" ht="15">
      <c r="A25" s="13" t="s">
        <v>143</v>
      </c>
      <c r="B25" s="122" t="s">
        <v>121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27.75" customHeight="1">
      <c r="A26" s="13" t="s">
        <v>144</v>
      </c>
      <c r="B26" s="144" t="s">
        <v>122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145</v>
      </c>
      <c r="B27" s="145" t="s">
        <v>103</v>
      </c>
      <c r="C27" s="11" t="s">
        <v>12</v>
      </c>
      <c r="D27" s="15">
        <v>1</v>
      </c>
      <c r="E27" s="16"/>
      <c r="F27" s="19"/>
      <c r="G27" s="19">
        <f t="shared" si="0"/>
        <v>0</v>
      </c>
      <c r="H27" s="15"/>
    </row>
    <row r="28" spans="1:8" s="2" customFormat="1" ht="15">
      <c r="A28" s="13" t="s">
        <v>146</v>
      </c>
      <c r="B28" s="145" t="s">
        <v>104</v>
      </c>
      <c r="C28" s="11" t="s">
        <v>12</v>
      </c>
      <c r="D28" s="15">
        <v>1</v>
      </c>
      <c r="E28" s="19"/>
      <c r="F28" s="19"/>
      <c r="G28" s="19">
        <f t="shared" si="0"/>
        <v>0</v>
      </c>
      <c r="H28" s="15"/>
    </row>
    <row r="29" spans="1:10" s="2" customFormat="1" ht="17.25" customHeight="1">
      <c r="A29" s="214" t="s">
        <v>123</v>
      </c>
      <c r="B29" s="215"/>
      <c r="C29" s="146"/>
      <c r="D29" s="29"/>
      <c r="E29" s="30">
        <f>E13+E16+E17+E18+E19+E20+E21+E22+E23+E24+E25+E26+E27+E28+E14</f>
        <v>0</v>
      </c>
      <c r="F29" s="30">
        <f>F13+F16+F17+F18+F19+F20+F21+F22+F23+F24+F25+F26+F27+F28</f>
        <v>0</v>
      </c>
      <c r="G29" s="30">
        <f>G13+G16+G17+G18+G19+G20+G21+G22+G23+G24+G25+G26+G27+G28+G14</f>
        <v>0</v>
      </c>
      <c r="H29" s="29"/>
      <c r="J29" s="9">
        <f>E13+E16+E17+E22+E23+E24+E25+E26+E27+E28</f>
        <v>0</v>
      </c>
    </row>
    <row r="30" spans="1:8" s="2" customFormat="1" ht="33.75" customHeight="1">
      <c r="A30" s="143" t="s">
        <v>124</v>
      </c>
      <c r="B30" s="212" t="s">
        <v>125</v>
      </c>
      <c r="C30" s="213"/>
      <c r="D30" s="213"/>
      <c r="E30" s="213"/>
      <c r="F30" s="213"/>
      <c r="G30" s="213"/>
      <c r="H30" s="116"/>
    </row>
    <row r="31" spans="1:8" s="2" customFormat="1" ht="36.75" customHeight="1">
      <c r="A31" s="13" t="s">
        <v>3</v>
      </c>
      <c r="B31" s="11" t="s">
        <v>29</v>
      </c>
      <c r="C31" s="11" t="s">
        <v>5</v>
      </c>
      <c r="D31" s="11" t="s">
        <v>6</v>
      </c>
      <c r="E31" s="12" t="s">
        <v>13</v>
      </c>
      <c r="F31" s="12" t="s">
        <v>28</v>
      </c>
      <c r="G31" s="11" t="s">
        <v>14</v>
      </c>
      <c r="H31" s="11" t="s">
        <v>7</v>
      </c>
    </row>
    <row r="32" spans="1:8" s="2" customFormat="1" ht="30" customHeight="1">
      <c r="A32" s="13" t="s">
        <v>26</v>
      </c>
      <c r="B32" s="118" t="s">
        <v>135</v>
      </c>
      <c r="C32" s="11" t="s">
        <v>12</v>
      </c>
      <c r="D32" s="15">
        <v>1</v>
      </c>
      <c r="E32" s="19"/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8" t="s">
        <v>150</v>
      </c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4">
        <f>F29+F38</f>
        <v>0</v>
      </c>
    </row>
    <row r="35" spans="1:8" s="2" customFormat="1" ht="26.25" customHeight="1">
      <c r="A35" s="13" t="s">
        <v>27</v>
      </c>
      <c r="B35" s="118" t="s">
        <v>136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14" t="s">
        <v>127</v>
      </c>
      <c r="B38" s="215"/>
      <c r="C38" s="216"/>
      <c r="D38" s="29"/>
      <c r="E38" s="30">
        <f>E32+E35</f>
        <v>0</v>
      </c>
      <c r="F38" s="30">
        <f>SUM(F32:F35)</f>
        <v>0</v>
      </c>
      <c r="G38" s="30">
        <f>G32+G35</f>
        <v>0</v>
      </c>
      <c r="H38" s="29"/>
    </row>
    <row r="39" s="2" customFormat="1" ht="9.75" customHeight="1">
      <c r="A39" s="35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30</v>
      </c>
      <c r="F40" s="12" t="s">
        <v>28</v>
      </c>
      <c r="G40" s="11" t="s">
        <v>14</v>
      </c>
      <c r="H40" s="171"/>
    </row>
    <row r="41" spans="1:9" s="2" customFormat="1" ht="15">
      <c r="A41" s="147" t="s">
        <v>128</v>
      </c>
      <c r="B41" s="127" t="s">
        <v>129</v>
      </c>
      <c r="C41" s="22" t="s">
        <v>12</v>
      </c>
      <c r="D41" s="21">
        <v>1</v>
      </c>
      <c r="E41" s="23"/>
      <c r="F41" s="23"/>
      <c r="G41" s="23">
        <f>E41+F41</f>
        <v>0</v>
      </c>
      <c r="H41" s="172"/>
      <c r="I41" s="2" t="s">
        <v>61</v>
      </c>
    </row>
    <row r="42" spans="1:8" s="2" customFormat="1" ht="15">
      <c r="A42" s="147" t="s">
        <v>130</v>
      </c>
      <c r="B42" s="127" t="s">
        <v>15</v>
      </c>
      <c r="C42" s="22" t="s">
        <v>12</v>
      </c>
      <c r="D42" s="21">
        <v>1</v>
      </c>
      <c r="E42" s="23"/>
      <c r="F42" s="23"/>
      <c r="G42" s="23">
        <f>E42+F42</f>
        <v>0</v>
      </c>
      <c r="H42" s="172"/>
    </row>
    <row r="43" spans="1:8" s="2" customFormat="1" ht="15">
      <c r="A43" s="147" t="s">
        <v>107</v>
      </c>
      <c r="B43" s="127" t="s">
        <v>131</v>
      </c>
      <c r="C43" s="22" t="s">
        <v>12</v>
      </c>
      <c r="D43" s="21">
        <v>1</v>
      </c>
      <c r="E43" s="23"/>
      <c r="F43" s="23"/>
      <c r="G43" s="23">
        <f>E43+F43</f>
        <v>0</v>
      </c>
      <c r="H43" s="172"/>
    </row>
    <row r="44" spans="1:8" s="34" customFormat="1" ht="28.5">
      <c r="A44" s="38" t="s">
        <v>132</v>
      </c>
      <c r="B44" s="135" t="s">
        <v>35</v>
      </c>
      <c r="C44" s="33" t="s">
        <v>12</v>
      </c>
      <c r="D44" s="148">
        <v>1</v>
      </c>
      <c r="E44" s="149"/>
      <c r="F44" s="150"/>
      <c r="G44" s="23">
        <f>E44+F44</f>
        <v>0</v>
      </c>
      <c r="H44" s="173"/>
    </row>
    <row r="45" spans="1:8" s="2" customFormat="1" ht="15">
      <c r="A45" s="151"/>
      <c r="B45" s="152" t="s">
        <v>133</v>
      </c>
      <c r="C45" s="153"/>
      <c r="D45" s="154"/>
      <c r="E45" s="155">
        <f>E29+E38+E41+E42+E43+E44</f>
        <v>0</v>
      </c>
      <c r="F45" s="155">
        <f>F29+F38+F41+F42+F43+F44</f>
        <v>0</v>
      </c>
      <c r="G45" s="23">
        <f>G29+G38+G41+G42+G43+G44</f>
        <v>0</v>
      </c>
      <c r="H45" s="172"/>
    </row>
    <row r="46" spans="1:7" s="32" customFormat="1" ht="15" customHeight="1">
      <c r="A46" s="204" t="s">
        <v>108</v>
      </c>
      <c r="B46" s="205"/>
      <c r="C46" s="205"/>
      <c r="D46" s="205"/>
      <c r="E46" s="205"/>
      <c r="F46" s="205"/>
      <c r="G46" s="206"/>
    </row>
    <row r="47" spans="1:7" s="2" customFormat="1" ht="33.75" customHeight="1">
      <c r="A47" s="13" t="s">
        <v>3</v>
      </c>
      <c r="B47" s="11" t="s">
        <v>4</v>
      </c>
      <c r="C47" s="11" t="s">
        <v>5</v>
      </c>
      <c r="D47" s="11" t="s">
        <v>6</v>
      </c>
      <c r="E47" s="12" t="s">
        <v>30</v>
      </c>
      <c r="F47" s="207" t="s">
        <v>31</v>
      </c>
      <c r="G47" s="208"/>
    </row>
    <row r="48" spans="1:12" s="2" customFormat="1" ht="25.5" customHeight="1">
      <c r="A48" s="13"/>
      <c r="B48" s="26" t="s">
        <v>36</v>
      </c>
      <c r="C48" s="22" t="s">
        <v>12</v>
      </c>
      <c r="D48" s="21">
        <v>1</v>
      </c>
      <c r="E48" s="23"/>
      <c r="F48" s="23"/>
      <c r="G48" s="23"/>
      <c r="K48" s="2">
        <v>8562.6</v>
      </c>
      <c r="L48" s="2" t="s">
        <v>152</v>
      </c>
    </row>
    <row r="49" spans="1:7" s="2" customFormat="1" ht="15">
      <c r="A49" s="13"/>
      <c r="B49" s="26" t="s">
        <v>37</v>
      </c>
      <c r="C49" s="22" t="s">
        <v>12</v>
      </c>
      <c r="D49" s="21">
        <v>1</v>
      </c>
      <c r="E49" s="23"/>
      <c r="F49" s="23"/>
      <c r="G49" s="23"/>
    </row>
    <row r="50" spans="1:7" s="2" customFormat="1" ht="15">
      <c r="A50" s="13"/>
      <c r="B50" s="26" t="s">
        <v>38</v>
      </c>
      <c r="C50" s="22" t="s">
        <v>12</v>
      </c>
      <c r="D50" s="21">
        <v>1</v>
      </c>
      <c r="E50" s="23"/>
      <c r="F50" s="23"/>
      <c r="G50" s="23"/>
    </row>
    <row r="51" spans="1:7" s="2" customFormat="1" ht="15">
      <c r="A51" s="13"/>
      <c r="B51" s="26" t="s">
        <v>39</v>
      </c>
      <c r="C51" s="22" t="s">
        <v>12</v>
      </c>
      <c r="D51" s="21">
        <v>1</v>
      </c>
      <c r="E51" s="23"/>
      <c r="F51" s="23"/>
      <c r="G51" s="23"/>
    </row>
    <row r="52" spans="1:7" s="2" customFormat="1" ht="15">
      <c r="A52" s="13"/>
      <c r="B52" s="26" t="s">
        <v>40</v>
      </c>
      <c r="C52" s="22" t="s">
        <v>12</v>
      </c>
      <c r="D52" s="15">
        <v>1</v>
      </c>
      <c r="E52" s="23"/>
      <c r="F52" s="20"/>
      <c r="G52" s="19"/>
    </row>
    <row r="53" spans="1:7" s="2" customFormat="1" ht="15">
      <c r="A53" s="13"/>
      <c r="B53" s="14"/>
      <c r="C53" s="22"/>
      <c r="D53" s="21"/>
      <c r="E53" s="23"/>
      <c r="F53" s="23"/>
      <c r="G53" s="23"/>
    </row>
    <row r="54" spans="1:7" s="2" customFormat="1" ht="15">
      <c r="A54" s="209" t="s">
        <v>41</v>
      </c>
      <c r="B54" s="210"/>
      <c r="C54" s="211"/>
      <c r="D54" s="15"/>
      <c r="E54" s="23">
        <f>SUM(E48:E53)</f>
        <v>0</v>
      </c>
      <c r="F54" s="17"/>
      <c r="G54" s="15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="2" customFormat="1" ht="15">
      <c r="A59" s="35"/>
    </row>
    <row r="60" spans="1:7" s="2" customFormat="1" ht="15">
      <c r="A60" s="201" t="s">
        <v>9</v>
      </c>
      <c r="B60" s="201"/>
      <c r="C60" s="201"/>
      <c r="D60" s="201"/>
      <c r="E60" s="202">
        <f>G45+E54</f>
        <v>0</v>
      </c>
      <c r="F60" s="202"/>
      <c r="G60" s="202"/>
    </row>
    <row r="61" spans="1:10" s="2" customFormat="1" ht="15">
      <c r="A61" s="35"/>
      <c r="G61" s="9"/>
      <c r="J61" s="2" t="s">
        <v>61</v>
      </c>
    </row>
    <row r="62" s="2" customFormat="1" ht="15">
      <c r="A62" s="35"/>
    </row>
    <row r="63" s="2" customFormat="1" ht="15">
      <c r="A63" s="35"/>
    </row>
    <row r="64" s="2" customFormat="1" ht="15">
      <c r="A64" s="35"/>
    </row>
    <row r="65" spans="1:5" s="2" customFormat="1" ht="15">
      <c r="A65" s="190" t="s">
        <v>32</v>
      </c>
      <c r="B65" s="190"/>
      <c r="E65" s="2" t="s">
        <v>10</v>
      </c>
    </row>
    <row r="66" spans="1:5" s="2" customFormat="1" ht="15">
      <c r="A66" s="190" t="s">
        <v>1</v>
      </c>
      <c r="B66" s="190"/>
      <c r="E66" s="2" t="s">
        <v>110</v>
      </c>
    </row>
    <row r="67" spans="1:5" s="2" customFormat="1" ht="30" customHeight="1">
      <c r="A67" s="198" t="s">
        <v>137</v>
      </c>
      <c r="B67" s="198"/>
      <c r="C67" s="18"/>
      <c r="E67" s="2" t="s">
        <v>11</v>
      </c>
    </row>
    <row r="68" s="2" customFormat="1" ht="15">
      <c r="A68" s="35"/>
    </row>
    <row r="69" s="2" customFormat="1" ht="15">
      <c r="A69" s="35"/>
    </row>
    <row r="70" s="2" customFormat="1" ht="15">
      <c r="A70" s="35"/>
    </row>
    <row r="71" s="2" customFormat="1" ht="15">
      <c r="A71" s="35"/>
    </row>
  </sheetData>
  <sheetProtection/>
  <mergeCells count="17">
    <mergeCell ref="A46:G46"/>
    <mergeCell ref="F47:G47"/>
    <mergeCell ref="A54:C54"/>
    <mergeCell ref="B11:G11"/>
    <mergeCell ref="A29:B29"/>
    <mergeCell ref="B30:G30"/>
    <mergeCell ref="A38:C38"/>
    <mergeCell ref="A67:B67"/>
    <mergeCell ref="A1:B1"/>
    <mergeCell ref="A3:E3"/>
    <mergeCell ref="A5:H5"/>
    <mergeCell ref="A6:H6"/>
    <mergeCell ref="A60:D60"/>
    <mergeCell ref="E60:G60"/>
    <mergeCell ref="A65:B65"/>
    <mergeCell ref="A66:B66"/>
    <mergeCell ref="B7:H7"/>
  </mergeCells>
  <printOptions/>
  <pageMargins left="0.33" right="0.21" top="0.53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E27" sqref="E27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8515625" style="10" customWidth="1"/>
    <col min="8" max="8" width="7.8515625" style="10" customWidth="1"/>
    <col min="9" max="16384" width="9.140625" style="10" customWidth="1"/>
  </cols>
  <sheetData>
    <row r="1" spans="1:5" s="2" customFormat="1" ht="15">
      <c r="A1" s="199" t="s">
        <v>0</v>
      </c>
      <c r="B1" s="199"/>
      <c r="C1" s="1" t="s">
        <v>110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153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154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3788.4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7"/>
      <c r="B14" s="168" t="s">
        <v>141</v>
      </c>
      <c r="C14" s="126"/>
      <c r="D14" s="27"/>
      <c r="E14" s="28">
        <v>0</v>
      </c>
      <c r="F14" s="28"/>
      <c r="G14" s="28">
        <f>E14</f>
        <v>0</v>
      </c>
      <c r="H14" s="27"/>
    </row>
    <row r="15" spans="1:8" s="2" customFormat="1" ht="30" customHeight="1">
      <c r="A15" s="13" t="s">
        <v>19</v>
      </c>
      <c r="B15" s="118" t="s">
        <v>118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20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21</v>
      </c>
      <c r="B17" s="55" t="s">
        <v>68</v>
      </c>
      <c r="C17" s="11"/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22</v>
      </c>
      <c r="B18" s="55" t="s">
        <v>69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23</v>
      </c>
      <c r="B19" s="55" t="s">
        <v>72</v>
      </c>
      <c r="C19" s="11"/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24</v>
      </c>
      <c r="B20" s="55" t="s">
        <v>70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25</v>
      </c>
      <c r="B21" s="122" t="s">
        <v>34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98</v>
      </c>
      <c r="B22" s="122" t="s">
        <v>119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99</v>
      </c>
      <c r="B23" s="118" t="s">
        <v>120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143</v>
      </c>
      <c r="B24" s="122" t="s">
        <v>121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144</v>
      </c>
      <c r="B25" s="144" t="s">
        <v>122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145</v>
      </c>
      <c r="B26" s="145" t="s">
        <v>103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146</v>
      </c>
      <c r="B27" s="145" t="s">
        <v>104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14" t="s">
        <v>123</v>
      </c>
      <c r="B28" s="215"/>
      <c r="C28" s="146"/>
      <c r="D28" s="29"/>
      <c r="E28" s="30">
        <f>E13+E15+E16+E17+E18+E19+E20+E21+E22+E23+E24+E25+E26+E27</f>
        <v>0</v>
      </c>
      <c r="F28" s="30">
        <f>F13+F15+F16+F17+F18+F19+F20+F21+F22+F23+F24+F25+F26+F27</f>
        <v>0</v>
      </c>
      <c r="G28" s="30">
        <f>G13+G15+G16+G17+G18+G19+G20+G21+G22+G23+G24+G25+G26+G27</f>
        <v>0</v>
      </c>
      <c r="H28" s="29"/>
      <c r="J28" s="9">
        <f>E13+E15+E16+E21+E22+E23+E24+E25+E26+E27</f>
        <v>0</v>
      </c>
    </row>
    <row r="29" spans="1:8" s="2" customFormat="1" ht="33.75" customHeight="1">
      <c r="A29" s="143" t="s">
        <v>124</v>
      </c>
      <c r="B29" s="212" t="s">
        <v>125</v>
      </c>
      <c r="C29" s="213"/>
      <c r="D29" s="213"/>
      <c r="E29" s="213"/>
      <c r="F29" s="213"/>
      <c r="G29" s="213"/>
      <c r="H29" s="116"/>
    </row>
    <row r="30" spans="1:8" s="2" customFormat="1" ht="36.75" customHeight="1">
      <c r="A30" s="13" t="s">
        <v>3</v>
      </c>
      <c r="B30" s="11" t="s">
        <v>29</v>
      </c>
      <c r="C30" s="11" t="s">
        <v>5</v>
      </c>
      <c r="D30" s="11" t="s">
        <v>6</v>
      </c>
      <c r="E30" s="12" t="s">
        <v>13</v>
      </c>
      <c r="F30" s="12" t="s">
        <v>28</v>
      </c>
      <c r="G30" s="11" t="s">
        <v>14</v>
      </c>
      <c r="H30" s="11" t="s">
        <v>7</v>
      </c>
    </row>
    <row r="31" spans="1:8" s="2" customFormat="1" ht="30" customHeight="1">
      <c r="A31" s="13" t="s">
        <v>26</v>
      </c>
      <c r="B31" s="118" t="s">
        <v>135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4">
        <f>F28+F37</f>
        <v>0</v>
      </c>
    </row>
    <row r="34" spans="1:8" s="2" customFormat="1" ht="26.25" customHeight="1">
      <c r="A34" s="13" t="s">
        <v>27</v>
      </c>
      <c r="B34" s="118" t="s">
        <v>136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14" t="s">
        <v>127</v>
      </c>
      <c r="B37" s="215"/>
      <c r="C37" s="216"/>
      <c r="D37" s="29"/>
      <c r="E37" s="30">
        <f>E31+E34</f>
        <v>0</v>
      </c>
      <c r="F37" s="30">
        <f>SUM(F31:F34)</f>
        <v>0</v>
      </c>
      <c r="G37" s="30">
        <f>G31+G34</f>
        <v>0</v>
      </c>
      <c r="H37" s="29"/>
    </row>
    <row r="38" s="2" customFormat="1" ht="9.75" customHeight="1">
      <c r="A38" s="35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30</v>
      </c>
      <c r="F39" s="12" t="s">
        <v>28</v>
      </c>
      <c r="G39" s="11" t="s">
        <v>14</v>
      </c>
      <c r="H39" s="11" t="s">
        <v>7</v>
      </c>
    </row>
    <row r="40" spans="1:9" s="2" customFormat="1" ht="15">
      <c r="A40" s="147" t="s">
        <v>128</v>
      </c>
      <c r="B40" s="127" t="s">
        <v>129</v>
      </c>
      <c r="C40" s="22" t="s">
        <v>12</v>
      </c>
      <c r="D40" s="21">
        <v>1</v>
      </c>
      <c r="E40" s="23"/>
      <c r="F40" s="23"/>
      <c r="G40" s="23">
        <f>E40+F40</f>
        <v>0</v>
      </c>
      <c r="H40" s="29"/>
      <c r="I40" s="2" t="s">
        <v>61</v>
      </c>
    </row>
    <row r="41" spans="1:8" s="2" customFormat="1" ht="15">
      <c r="A41" s="147" t="s">
        <v>130</v>
      </c>
      <c r="B41" s="127" t="s">
        <v>15</v>
      </c>
      <c r="C41" s="22" t="s">
        <v>12</v>
      </c>
      <c r="D41" s="21">
        <v>1</v>
      </c>
      <c r="E41" s="23"/>
      <c r="F41" s="23"/>
      <c r="G41" s="23">
        <f>E41+F41</f>
        <v>0</v>
      </c>
      <c r="H41" s="29"/>
    </row>
    <row r="42" spans="1:8" s="2" customFormat="1" ht="15">
      <c r="A42" s="147" t="s">
        <v>107</v>
      </c>
      <c r="B42" s="127" t="s">
        <v>131</v>
      </c>
      <c r="C42" s="22" t="s">
        <v>12</v>
      </c>
      <c r="D42" s="21">
        <v>1</v>
      </c>
      <c r="E42" s="23"/>
      <c r="F42" s="23"/>
      <c r="G42" s="23">
        <f>E42+F42</f>
        <v>0</v>
      </c>
      <c r="H42" s="29"/>
    </row>
    <row r="43" spans="1:7" s="34" customFormat="1" ht="28.5">
      <c r="A43" s="38" t="s">
        <v>132</v>
      </c>
      <c r="B43" s="135" t="s">
        <v>35</v>
      </c>
      <c r="C43" s="33" t="s">
        <v>12</v>
      </c>
      <c r="D43" s="148">
        <v>1</v>
      </c>
      <c r="E43" s="149"/>
      <c r="F43" s="150"/>
      <c r="G43" s="23">
        <f>E43+F43</f>
        <v>0</v>
      </c>
    </row>
    <row r="44" spans="1:8" s="2" customFormat="1" ht="15">
      <c r="A44" s="151"/>
      <c r="B44" s="152" t="s">
        <v>133</v>
      </c>
      <c r="C44" s="153"/>
      <c r="D44" s="154"/>
      <c r="E44" s="155">
        <f>E28+E37+E40+E41+E42+E43</f>
        <v>0</v>
      </c>
      <c r="F44" s="155">
        <f>F28+F37+F40+F41+F42+F43</f>
        <v>0</v>
      </c>
      <c r="G44" s="155">
        <f>G28+G37+G40+G41+G42+G43</f>
        <v>0</v>
      </c>
      <c r="H44" s="29"/>
    </row>
    <row r="45" spans="1:7" s="32" customFormat="1" ht="15" customHeight="1">
      <c r="A45" s="204" t="s">
        <v>108</v>
      </c>
      <c r="B45" s="205"/>
      <c r="C45" s="205"/>
      <c r="D45" s="205"/>
      <c r="E45" s="205"/>
      <c r="F45" s="205"/>
      <c r="G45" s="206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30</v>
      </c>
      <c r="F46" s="207" t="s">
        <v>31</v>
      </c>
      <c r="G46" s="208"/>
    </row>
    <row r="47" spans="1:7" s="2" customFormat="1" ht="25.5" customHeight="1">
      <c r="A47" s="13"/>
      <c r="B47" s="26" t="s">
        <v>36</v>
      </c>
      <c r="C47" s="22" t="s">
        <v>12</v>
      </c>
      <c r="D47" s="21">
        <v>1</v>
      </c>
      <c r="E47" s="23"/>
      <c r="F47" s="23"/>
      <c r="G47" s="23"/>
    </row>
    <row r="48" spans="1:7" s="2" customFormat="1" ht="15">
      <c r="A48" s="13"/>
      <c r="B48" s="26" t="s">
        <v>37</v>
      </c>
      <c r="C48" s="22" t="s">
        <v>12</v>
      </c>
      <c r="D48" s="21">
        <v>1</v>
      </c>
      <c r="E48" s="23"/>
      <c r="F48" s="23"/>
      <c r="G48" s="23"/>
    </row>
    <row r="49" spans="1:7" s="2" customFormat="1" ht="15">
      <c r="A49" s="13"/>
      <c r="B49" s="26" t="s">
        <v>38</v>
      </c>
      <c r="C49" s="22" t="s">
        <v>12</v>
      </c>
      <c r="D49" s="21">
        <v>1</v>
      </c>
      <c r="E49" s="23"/>
      <c r="F49" s="23"/>
      <c r="G49" s="23"/>
    </row>
    <row r="50" spans="1:7" s="2" customFormat="1" ht="15">
      <c r="A50" s="13"/>
      <c r="B50" s="26" t="s">
        <v>39</v>
      </c>
      <c r="C50" s="22" t="s">
        <v>12</v>
      </c>
      <c r="D50" s="21">
        <v>1</v>
      </c>
      <c r="E50" s="23"/>
      <c r="F50" s="23"/>
      <c r="G50" s="23"/>
    </row>
    <row r="51" spans="1:7" s="2" customFormat="1" ht="15">
      <c r="A51" s="13"/>
      <c r="B51" s="26" t="s">
        <v>40</v>
      </c>
      <c r="C51" s="22" t="s">
        <v>12</v>
      </c>
      <c r="D51" s="15">
        <v>1</v>
      </c>
      <c r="E51" s="23"/>
      <c r="F51" s="20"/>
      <c r="G51" s="19"/>
    </row>
    <row r="52" spans="1:7" s="2" customFormat="1" ht="15">
      <c r="A52" s="13"/>
      <c r="B52" s="14"/>
      <c r="C52" s="22"/>
      <c r="D52" s="21"/>
      <c r="E52" s="23"/>
      <c r="F52" s="23"/>
      <c r="G52" s="23"/>
    </row>
    <row r="53" spans="1:7" s="2" customFormat="1" ht="15">
      <c r="A53" s="209" t="s">
        <v>41</v>
      </c>
      <c r="B53" s="210"/>
      <c r="C53" s="211"/>
      <c r="D53" s="15"/>
      <c r="E53" s="23">
        <f>SUM(E47:E52)</f>
        <v>0</v>
      </c>
      <c r="F53" s="17"/>
      <c r="G53" s="15"/>
    </row>
    <row r="54" spans="1:7" s="2" customFormat="1" ht="15">
      <c r="A54" s="36"/>
      <c r="B54" s="8"/>
      <c r="C54" s="8"/>
      <c r="D54" s="24"/>
      <c r="E54" s="31"/>
      <c r="F54" s="25"/>
      <c r="G54" s="24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="2" customFormat="1" ht="15">
      <c r="A58" s="35"/>
    </row>
    <row r="59" spans="1:7" s="2" customFormat="1" ht="15">
      <c r="A59" s="201" t="s">
        <v>9</v>
      </c>
      <c r="B59" s="201"/>
      <c r="C59" s="201"/>
      <c r="D59" s="201"/>
      <c r="E59" s="202">
        <f>G44+E53</f>
        <v>0</v>
      </c>
      <c r="F59" s="202"/>
      <c r="G59" s="202"/>
    </row>
    <row r="60" spans="1:10" s="2" customFormat="1" ht="15">
      <c r="A60" s="35"/>
      <c r="G60" s="9"/>
      <c r="J60" s="2" t="s">
        <v>61</v>
      </c>
    </row>
    <row r="61" s="2" customFormat="1" ht="15">
      <c r="A61" s="35"/>
    </row>
    <row r="62" s="2" customFormat="1" ht="15">
      <c r="A62" s="35"/>
    </row>
    <row r="63" s="2" customFormat="1" ht="15">
      <c r="A63" s="35"/>
    </row>
    <row r="64" spans="1:5" s="2" customFormat="1" ht="15">
      <c r="A64" s="190" t="s">
        <v>32</v>
      </c>
      <c r="B64" s="190"/>
      <c r="E64" s="2" t="s">
        <v>10</v>
      </c>
    </row>
    <row r="65" spans="1:5" s="2" customFormat="1" ht="15">
      <c r="A65" s="190" t="s">
        <v>1</v>
      </c>
      <c r="B65" s="190"/>
      <c r="E65" s="2" t="s">
        <v>110</v>
      </c>
    </row>
    <row r="66" spans="1:5" s="2" customFormat="1" ht="30" customHeight="1">
      <c r="A66" s="198" t="s">
        <v>137</v>
      </c>
      <c r="B66" s="198"/>
      <c r="C66" s="18"/>
      <c r="E66" s="2" t="s">
        <v>11</v>
      </c>
    </row>
    <row r="67" s="2" customFormat="1" ht="15">
      <c r="A67" s="35"/>
    </row>
    <row r="68" s="2" customFormat="1" ht="15">
      <c r="A68" s="35"/>
    </row>
    <row r="69" s="2" customFormat="1" ht="15">
      <c r="A69" s="35"/>
    </row>
    <row r="70" s="2" customFormat="1" ht="15">
      <c r="A70" s="35"/>
    </row>
  </sheetData>
  <sheetProtection/>
  <mergeCells count="17">
    <mergeCell ref="B7:H7"/>
    <mergeCell ref="A37:C37"/>
    <mergeCell ref="A45:G45"/>
    <mergeCell ref="B11:G11"/>
    <mergeCell ref="A28:B28"/>
    <mergeCell ref="B29:G29"/>
    <mergeCell ref="A1:B1"/>
    <mergeCell ref="A3:E3"/>
    <mergeCell ref="A5:H5"/>
    <mergeCell ref="A6:H6"/>
    <mergeCell ref="F46:G46"/>
    <mergeCell ref="A53:C53"/>
    <mergeCell ref="A65:B65"/>
    <mergeCell ref="A66:B66"/>
    <mergeCell ref="A59:D59"/>
    <mergeCell ref="E59:G59"/>
    <mergeCell ref="A64:B64"/>
  </mergeCells>
  <printOptions/>
  <pageMargins left="0.38" right="0.19" top="0.53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F23" sqref="F23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99" t="s">
        <v>0</v>
      </c>
      <c r="B1" s="199"/>
      <c r="C1" s="1" t="s">
        <v>110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155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156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3788.4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7"/>
      <c r="B14" s="168" t="s">
        <v>141</v>
      </c>
      <c r="C14" s="126"/>
      <c r="D14" s="27"/>
      <c r="E14" s="28"/>
      <c r="F14" s="28"/>
      <c r="G14" s="28">
        <f>E14</f>
        <v>0</v>
      </c>
      <c r="H14" s="27"/>
    </row>
    <row r="15" spans="1:8" s="2" customFormat="1" ht="30" customHeight="1">
      <c r="A15" s="13" t="s">
        <v>19</v>
      </c>
      <c r="B15" s="118" t="s">
        <v>118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20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21</v>
      </c>
      <c r="B17" s="55" t="s">
        <v>68</v>
      </c>
      <c r="C17" s="11"/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22</v>
      </c>
      <c r="B18" s="55" t="s">
        <v>69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23</v>
      </c>
      <c r="B19" s="55" t="s">
        <v>72</v>
      </c>
      <c r="C19" s="11"/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24</v>
      </c>
      <c r="B20" s="55" t="s">
        <v>70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25</v>
      </c>
      <c r="B21" s="122" t="s">
        <v>34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98</v>
      </c>
      <c r="B22" s="122" t="s">
        <v>119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99</v>
      </c>
      <c r="B23" s="118" t="s">
        <v>120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143</v>
      </c>
      <c r="B24" s="122" t="s">
        <v>121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144</v>
      </c>
      <c r="B25" s="144" t="s">
        <v>122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145</v>
      </c>
      <c r="B26" s="145" t="s">
        <v>103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146</v>
      </c>
      <c r="B27" s="145" t="s">
        <v>104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14" t="s">
        <v>123</v>
      </c>
      <c r="B28" s="215"/>
      <c r="C28" s="146"/>
      <c r="D28" s="29"/>
      <c r="E28" s="30">
        <f>E13+E15+E16+E17+E18+E19+E20+E21+E22+E23+E24+E25+E26+E27</f>
        <v>0</v>
      </c>
      <c r="F28" s="30">
        <f>F13+F15+F16+F17+F18+F19+F20+F21+F22+F23+F24+F25+F26+F27</f>
        <v>0</v>
      </c>
      <c r="G28" s="30">
        <f>G13+G15+G16+G17+G18+G19+G20+G21+G22+G23+G24+G25+G26+G27</f>
        <v>0</v>
      </c>
      <c r="H28" s="29"/>
      <c r="J28" s="9">
        <f>E13+E15+E16+E21+E22+E23+E24+E25+E26+E27</f>
        <v>0</v>
      </c>
    </row>
    <row r="29" spans="1:8" s="2" customFormat="1" ht="33.75" customHeight="1">
      <c r="A29" s="143" t="s">
        <v>124</v>
      </c>
      <c r="B29" s="212" t="s">
        <v>125</v>
      </c>
      <c r="C29" s="213"/>
      <c r="D29" s="213"/>
      <c r="E29" s="213"/>
      <c r="F29" s="213"/>
      <c r="G29" s="213"/>
      <c r="H29" s="116"/>
    </row>
    <row r="30" spans="1:8" s="2" customFormat="1" ht="36.75" customHeight="1">
      <c r="A30" s="13" t="s">
        <v>3</v>
      </c>
      <c r="B30" s="11" t="s">
        <v>29</v>
      </c>
      <c r="C30" s="11" t="s">
        <v>5</v>
      </c>
      <c r="D30" s="11" t="s">
        <v>6</v>
      </c>
      <c r="E30" s="12" t="s">
        <v>13</v>
      </c>
      <c r="F30" s="12" t="s">
        <v>28</v>
      </c>
      <c r="G30" s="11" t="s">
        <v>14</v>
      </c>
      <c r="H30" s="11" t="s">
        <v>7</v>
      </c>
    </row>
    <row r="31" spans="1:8" s="2" customFormat="1" ht="30" customHeight="1">
      <c r="A31" s="13" t="s">
        <v>26</v>
      </c>
      <c r="B31" s="118" t="s">
        <v>135</v>
      </c>
      <c r="C31" s="11" t="s">
        <v>12</v>
      </c>
      <c r="D31" s="15">
        <v>1</v>
      </c>
      <c r="E31" s="19"/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4">
        <f>F28+F37</f>
        <v>0</v>
      </c>
    </row>
    <row r="34" spans="1:8" s="2" customFormat="1" ht="26.25" customHeight="1">
      <c r="A34" s="13" t="s">
        <v>27</v>
      </c>
      <c r="B34" s="118" t="s">
        <v>136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14" t="s">
        <v>127</v>
      </c>
      <c r="B37" s="215"/>
      <c r="C37" s="216"/>
      <c r="D37" s="29"/>
      <c r="E37" s="30">
        <f>E31+E34</f>
        <v>0</v>
      </c>
      <c r="F37" s="30">
        <f>SUM(F31:F34)</f>
        <v>0</v>
      </c>
      <c r="G37" s="30">
        <f>G31+G34</f>
        <v>0</v>
      </c>
      <c r="H37" s="29"/>
    </row>
    <row r="38" s="2" customFormat="1" ht="9.75" customHeight="1">
      <c r="A38" s="35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30</v>
      </c>
      <c r="F39" s="12" t="s">
        <v>28</v>
      </c>
      <c r="G39" s="11" t="s">
        <v>14</v>
      </c>
      <c r="H39" s="11" t="s">
        <v>7</v>
      </c>
    </row>
    <row r="40" spans="1:9" s="2" customFormat="1" ht="15">
      <c r="A40" s="147" t="s">
        <v>128</v>
      </c>
      <c r="B40" s="127" t="s">
        <v>129</v>
      </c>
      <c r="C40" s="22" t="s">
        <v>12</v>
      </c>
      <c r="D40" s="21">
        <v>1</v>
      </c>
      <c r="E40" s="23"/>
      <c r="F40" s="23"/>
      <c r="G40" s="23">
        <f>E40+F40</f>
        <v>0</v>
      </c>
      <c r="H40" s="29"/>
      <c r="I40" s="2" t="s">
        <v>61</v>
      </c>
    </row>
    <row r="41" spans="1:8" s="2" customFormat="1" ht="15">
      <c r="A41" s="147" t="s">
        <v>130</v>
      </c>
      <c r="B41" s="127" t="s">
        <v>15</v>
      </c>
      <c r="C41" s="22" t="s">
        <v>12</v>
      </c>
      <c r="D41" s="21">
        <v>1</v>
      </c>
      <c r="E41" s="23"/>
      <c r="F41" s="23"/>
      <c r="G41" s="23">
        <f>E41+F41</f>
        <v>0</v>
      </c>
      <c r="H41" s="29"/>
    </row>
    <row r="42" spans="1:8" s="2" customFormat="1" ht="15">
      <c r="A42" s="147" t="s">
        <v>107</v>
      </c>
      <c r="B42" s="127" t="s">
        <v>131</v>
      </c>
      <c r="C42" s="22" t="s">
        <v>12</v>
      </c>
      <c r="D42" s="21">
        <v>1</v>
      </c>
      <c r="E42" s="23"/>
      <c r="F42" s="23"/>
      <c r="G42" s="23">
        <f>E42+F42</f>
        <v>0</v>
      </c>
      <c r="H42" s="29"/>
    </row>
    <row r="43" spans="1:7" s="34" customFormat="1" ht="28.5">
      <c r="A43" s="38" t="s">
        <v>132</v>
      </c>
      <c r="B43" s="135" t="s">
        <v>35</v>
      </c>
      <c r="C43" s="33" t="s">
        <v>12</v>
      </c>
      <c r="D43" s="148">
        <v>1</v>
      </c>
      <c r="E43" s="149"/>
      <c r="F43" s="150"/>
      <c r="G43" s="23">
        <f>E43+F43</f>
        <v>0</v>
      </c>
    </row>
    <row r="44" spans="1:8" s="2" customFormat="1" ht="15">
      <c r="A44" s="151"/>
      <c r="B44" s="152" t="s">
        <v>133</v>
      </c>
      <c r="C44" s="153"/>
      <c r="D44" s="154"/>
      <c r="E44" s="155">
        <f>E28+E37+E40+E41+E42+E43</f>
        <v>0</v>
      </c>
      <c r="F44" s="155">
        <f>F28+F37+F40+F41+F42+F43</f>
        <v>0</v>
      </c>
      <c r="G44" s="155">
        <f>G28+G37+G40+G41+G42+G43</f>
        <v>0</v>
      </c>
      <c r="H44" s="29"/>
    </row>
    <row r="45" spans="1:7" s="32" customFormat="1" ht="15" customHeight="1">
      <c r="A45" s="204" t="s">
        <v>108</v>
      </c>
      <c r="B45" s="205"/>
      <c r="C45" s="205"/>
      <c r="D45" s="205"/>
      <c r="E45" s="205"/>
      <c r="F45" s="205"/>
      <c r="G45" s="206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30</v>
      </c>
      <c r="F46" s="207" t="s">
        <v>31</v>
      </c>
      <c r="G46" s="208"/>
    </row>
    <row r="47" spans="1:7" s="2" customFormat="1" ht="25.5" customHeight="1">
      <c r="A47" s="13"/>
      <c r="B47" s="26" t="s">
        <v>36</v>
      </c>
      <c r="C47" s="22" t="s">
        <v>12</v>
      </c>
      <c r="D47" s="21">
        <v>1</v>
      </c>
      <c r="E47" s="23"/>
      <c r="F47" s="23"/>
      <c r="G47" s="23"/>
    </row>
    <row r="48" spans="1:7" s="2" customFormat="1" ht="15">
      <c r="A48" s="13"/>
      <c r="B48" s="26" t="s">
        <v>37</v>
      </c>
      <c r="C48" s="22" t="s">
        <v>12</v>
      </c>
      <c r="D48" s="21">
        <v>1</v>
      </c>
      <c r="E48" s="23"/>
      <c r="F48" s="23"/>
      <c r="G48" s="23"/>
    </row>
    <row r="49" spans="1:7" s="2" customFormat="1" ht="15">
      <c r="A49" s="13"/>
      <c r="B49" s="26" t="s">
        <v>38</v>
      </c>
      <c r="C49" s="22" t="s">
        <v>12</v>
      </c>
      <c r="D49" s="21">
        <v>1</v>
      </c>
      <c r="E49" s="23"/>
      <c r="F49" s="23"/>
      <c r="G49" s="23"/>
    </row>
    <row r="50" spans="1:7" s="2" customFormat="1" ht="15">
      <c r="A50" s="13"/>
      <c r="B50" s="26" t="s">
        <v>39</v>
      </c>
      <c r="C50" s="22" t="s">
        <v>12</v>
      </c>
      <c r="D50" s="21">
        <v>1</v>
      </c>
      <c r="E50" s="23"/>
      <c r="F50" s="23"/>
      <c r="G50" s="23"/>
    </row>
    <row r="51" spans="1:7" s="2" customFormat="1" ht="15">
      <c r="A51" s="13"/>
      <c r="B51" s="26" t="s">
        <v>40</v>
      </c>
      <c r="C51" s="22" t="s">
        <v>12</v>
      </c>
      <c r="D51" s="15">
        <v>1</v>
      </c>
      <c r="E51" s="23"/>
      <c r="F51" s="20"/>
      <c r="G51" s="19"/>
    </row>
    <row r="52" spans="1:7" s="2" customFormat="1" ht="15">
      <c r="A52" s="13"/>
      <c r="B52" s="14"/>
      <c r="C52" s="22"/>
      <c r="D52" s="21"/>
      <c r="E52" s="23"/>
      <c r="F52" s="23"/>
      <c r="G52" s="23"/>
    </row>
    <row r="53" spans="1:7" s="2" customFormat="1" ht="15">
      <c r="A53" s="209" t="s">
        <v>41</v>
      </c>
      <c r="B53" s="210"/>
      <c r="C53" s="211"/>
      <c r="D53" s="15"/>
      <c r="E53" s="23">
        <f>SUM(E47:E52)</f>
        <v>0</v>
      </c>
      <c r="F53" s="17"/>
      <c r="G53" s="15"/>
    </row>
    <row r="54" spans="1:7" s="2" customFormat="1" ht="15">
      <c r="A54" s="36"/>
      <c r="B54" s="8"/>
      <c r="C54" s="8"/>
      <c r="D54" s="24"/>
      <c r="E54" s="31"/>
      <c r="F54" s="25"/>
      <c r="G54" s="24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="2" customFormat="1" ht="15">
      <c r="A58" s="35"/>
    </row>
    <row r="59" spans="1:7" s="2" customFormat="1" ht="15">
      <c r="A59" s="201" t="s">
        <v>9</v>
      </c>
      <c r="B59" s="201"/>
      <c r="C59" s="201"/>
      <c r="D59" s="201"/>
      <c r="E59" s="202">
        <f>G44+E53</f>
        <v>0</v>
      </c>
      <c r="F59" s="202"/>
      <c r="G59" s="202"/>
    </row>
    <row r="60" spans="1:10" s="2" customFormat="1" ht="15">
      <c r="A60" s="35"/>
      <c r="G60" s="9"/>
      <c r="J60" s="2" t="s">
        <v>61</v>
      </c>
    </row>
    <row r="61" s="2" customFormat="1" ht="15">
      <c r="A61" s="35"/>
    </row>
    <row r="62" s="2" customFormat="1" ht="15">
      <c r="A62" s="35"/>
    </row>
    <row r="63" s="2" customFormat="1" ht="15">
      <c r="A63" s="35"/>
    </row>
    <row r="64" spans="1:5" s="2" customFormat="1" ht="15">
      <c r="A64" s="190" t="s">
        <v>32</v>
      </c>
      <c r="B64" s="190"/>
      <c r="E64" s="2" t="s">
        <v>10</v>
      </c>
    </row>
    <row r="65" spans="1:5" s="2" customFormat="1" ht="15">
      <c r="A65" s="190" t="s">
        <v>1</v>
      </c>
      <c r="B65" s="190"/>
      <c r="E65" s="2" t="s">
        <v>110</v>
      </c>
    </row>
    <row r="66" spans="1:5" s="2" customFormat="1" ht="30" customHeight="1">
      <c r="A66" s="198" t="s">
        <v>137</v>
      </c>
      <c r="B66" s="198"/>
      <c r="C66" s="18"/>
      <c r="E66" s="2" t="s">
        <v>11</v>
      </c>
    </row>
    <row r="67" s="2" customFormat="1" ht="15">
      <c r="A67" s="35"/>
    </row>
    <row r="68" s="2" customFormat="1" ht="15">
      <c r="A68" s="35"/>
    </row>
    <row r="69" s="2" customFormat="1" ht="15">
      <c r="A69" s="35"/>
    </row>
    <row r="70" s="2" customFormat="1" ht="15">
      <c r="A70" s="35"/>
    </row>
  </sheetData>
  <sheetProtection/>
  <mergeCells count="17">
    <mergeCell ref="A66:B66"/>
    <mergeCell ref="A45:G45"/>
    <mergeCell ref="F46:G46"/>
    <mergeCell ref="A53:C53"/>
    <mergeCell ref="A59:D59"/>
    <mergeCell ref="E59:G59"/>
    <mergeCell ref="A64:B64"/>
    <mergeCell ref="A65:B65"/>
    <mergeCell ref="B29:G29"/>
    <mergeCell ref="A37:C37"/>
    <mergeCell ref="A1:B1"/>
    <mergeCell ref="A3:E3"/>
    <mergeCell ref="A5:H5"/>
    <mergeCell ref="A6:H6"/>
    <mergeCell ref="B7:H7"/>
    <mergeCell ref="B11:G11"/>
    <mergeCell ref="A28:B28"/>
  </mergeCells>
  <printOptions/>
  <pageMargins left="0.35" right="0.17" top="0.62992125984251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6">
      <selection activeCell="E47" sqref="E47:E51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99" t="s">
        <v>0</v>
      </c>
      <c r="B1" s="199"/>
      <c r="C1" s="1" t="s">
        <v>110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157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158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3788.4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7"/>
      <c r="B14" s="168" t="s">
        <v>141</v>
      </c>
      <c r="C14" s="126"/>
      <c r="D14" s="27"/>
      <c r="E14" s="28">
        <v>0</v>
      </c>
      <c r="F14" s="28"/>
      <c r="G14" s="28">
        <f>E14</f>
        <v>0</v>
      </c>
      <c r="H14" s="27"/>
    </row>
    <row r="15" spans="1:8" s="2" customFormat="1" ht="30" customHeight="1">
      <c r="A15" s="13" t="s">
        <v>19</v>
      </c>
      <c r="B15" s="118" t="s">
        <v>118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20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21</v>
      </c>
      <c r="B17" s="55" t="s">
        <v>68</v>
      </c>
      <c r="C17" s="11"/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22</v>
      </c>
      <c r="B18" s="55" t="s">
        <v>69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23</v>
      </c>
      <c r="B19" s="55" t="s">
        <v>72</v>
      </c>
      <c r="C19" s="11"/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24</v>
      </c>
      <c r="B20" s="55" t="s">
        <v>70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25</v>
      </c>
      <c r="B21" s="122" t="s">
        <v>34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98</v>
      </c>
      <c r="B22" s="122" t="s">
        <v>119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99</v>
      </c>
      <c r="B23" s="118" t="s">
        <v>120</v>
      </c>
      <c r="C23" s="11" t="s">
        <v>12</v>
      </c>
      <c r="D23" s="15">
        <v>1</v>
      </c>
      <c r="E23" s="16"/>
      <c r="F23" s="19">
        <v>3.2</v>
      </c>
      <c r="G23" s="19">
        <f t="shared" si="0"/>
        <v>3.2</v>
      </c>
      <c r="H23" s="15"/>
      <c r="J23" s="2">
        <f>E23</f>
        <v>0</v>
      </c>
    </row>
    <row r="24" spans="1:8" s="2" customFormat="1" ht="15">
      <c r="A24" s="13" t="s">
        <v>143</v>
      </c>
      <c r="B24" s="122" t="s">
        <v>121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144</v>
      </c>
      <c r="B25" s="144" t="s">
        <v>122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145</v>
      </c>
      <c r="B26" s="145" t="s">
        <v>103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146</v>
      </c>
      <c r="B27" s="145" t="s">
        <v>104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14" t="s">
        <v>123</v>
      </c>
      <c r="B28" s="215"/>
      <c r="C28" s="146"/>
      <c r="D28" s="29"/>
      <c r="E28" s="30">
        <f>E13+E15+E16+E17+E18+E19+E20+E21+E22+E23+E24+E25+E26+E27</f>
        <v>0</v>
      </c>
      <c r="F28" s="30">
        <f>F13+F15+F16+F17+F18+F19+F20+F21+F22+F23+F24+F25+F26+F27</f>
        <v>3.2</v>
      </c>
      <c r="G28" s="30">
        <f>G13+G15+G16+G17+G18+G19+G20+G21+G22+G23+G24+G25+G26+G27</f>
        <v>3.2</v>
      </c>
      <c r="H28" s="29"/>
      <c r="J28" s="9">
        <f>E13+E15+E16+E21+E22+E23+E24+E25+E26+E27</f>
        <v>0</v>
      </c>
    </row>
    <row r="29" spans="1:8" s="2" customFormat="1" ht="33.75" customHeight="1">
      <c r="A29" s="143" t="s">
        <v>124</v>
      </c>
      <c r="B29" s="212" t="s">
        <v>125</v>
      </c>
      <c r="C29" s="213"/>
      <c r="D29" s="213"/>
      <c r="E29" s="213"/>
      <c r="F29" s="213"/>
      <c r="G29" s="213"/>
      <c r="H29" s="116"/>
    </row>
    <row r="30" spans="1:8" s="2" customFormat="1" ht="36.75" customHeight="1">
      <c r="A30" s="13" t="s">
        <v>3</v>
      </c>
      <c r="B30" s="11" t="s">
        <v>29</v>
      </c>
      <c r="C30" s="11" t="s">
        <v>5</v>
      </c>
      <c r="D30" s="11" t="s">
        <v>6</v>
      </c>
      <c r="E30" s="12" t="s">
        <v>13</v>
      </c>
      <c r="F30" s="12" t="s">
        <v>28</v>
      </c>
      <c r="G30" s="11" t="s">
        <v>14</v>
      </c>
      <c r="H30" s="11" t="s">
        <v>7</v>
      </c>
    </row>
    <row r="31" spans="1:8" s="2" customFormat="1" ht="30" customHeight="1">
      <c r="A31" s="13" t="s">
        <v>26</v>
      </c>
      <c r="B31" s="118" t="s">
        <v>135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4">
        <f>F28+F37</f>
        <v>3.2</v>
      </c>
    </row>
    <row r="34" spans="1:8" s="2" customFormat="1" ht="26.25" customHeight="1">
      <c r="A34" s="13" t="s">
        <v>27</v>
      </c>
      <c r="B34" s="118" t="s">
        <v>136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14" t="s">
        <v>127</v>
      </c>
      <c r="B37" s="215"/>
      <c r="C37" s="216"/>
      <c r="D37" s="29"/>
      <c r="E37" s="30">
        <f>E31+E34</f>
        <v>0</v>
      </c>
      <c r="F37" s="30">
        <f>SUM(F31:F34)</f>
        <v>0</v>
      </c>
      <c r="G37" s="30">
        <f>G31+G34</f>
        <v>0</v>
      </c>
      <c r="H37" s="29"/>
    </row>
    <row r="38" s="2" customFormat="1" ht="9.75" customHeight="1">
      <c r="A38" s="35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30</v>
      </c>
      <c r="F39" s="12" t="s">
        <v>28</v>
      </c>
      <c r="G39" s="11" t="s">
        <v>14</v>
      </c>
      <c r="H39" s="11" t="s">
        <v>7</v>
      </c>
    </row>
    <row r="40" spans="1:9" s="2" customFormat="1" ht="15">
      <c r="A40" s="147" t="s">
        <v>128</v>
      </c>
      <c r="B40" s="127" t="s">
        <v>129</v>
      </c>
      <c r="C40" s="22" t="s">
        <v>12</v>
      </c>
      <c r="D40" s="21">
        <v>1</v>
      </c>
      <c r="E40" s="23"/>
      <c r="F40" s="23"/>
      <c r="G40" s="23">
        <f>E40+F40</f>
        <v>0</v>
      </c>
      <c r="H40" s="29"/>
      <c r="I40" s="2" t="s">
        <v>61</v>
      </c>
    </row>
    <row r="41" spans="1:8" s="2" customFormat="1" ht="15">
      <c r="A41" s="147" t="s">
        <v>130</v>
      </c>
      <c r="B41" s="127" t="s">
        <v>15</v>
      </c>
      <c r="C41" s="22" t="s">
        <v>12</v>
      </c>
      <c r="D41" s="21">
        <v>1</v>
      </c>
      <c r="E41" s="23"/>
      <c r="F41" s="23"/>
      <c r="G41" s="23">
        <f>E41+F41</f>
        <v>0</v>
      </c>
      <c r="H41" s="29"/>
    </row>
    <row r="42" spans="1:8" s="2" customFormat="1" ht="15">
      <c r="A42" s="147" t="s">
        <v>107</v>
      </c>
      <c r="B42" s="127" t="s">
        <v>131</v>
      </c>
      <c r="C42" s="22" t="s">
        <v>12</v>
      </c>
      <c r="D42" s="21">
        <v>1</v>
      </c>
      <c r="E42" s="23"/>
      <c r="F42" s="23"/>
      <c r="G42" s="23">
        <f>E42+F42</f>
        <v>0</v>
      </c>
      <c r="H42" s="29"/>
    </row>
    <row r="43" spans="1:7" s="34" customFormat="1" ht="28.5">
      <c r="A43" s="38" t="s">
        <v>132</v>
      </c>
      <c r="B43" s="135" t="s">
        <v>35</v>
      </c>
      <c r="C43" s="33" t="s">
        <v>12</v>
      </c>
      <c r="D43" s="148">
        <v>1</v>
      </c>
      <c r="E43" s="149"/>
      <c r="F43" s="150"/>
      <c r="G43" s="23">
        <f>E43+F43</f>
        <v>0</v>
      </c>
    </row>
    <row r="44" spans="1:8" s="2" customFormat="1" ht="15">
      <c r="A44" s="151"/>
      <c r="B44" s="152" t="s">
        <v>133</v>
      </c>
      <c r="C44" s="153"/>
      <c r="D44" s="154"/>
      <c r="E44" s="155">
        <f>E28+E37+E40+E41+E42+E43</f>
        <v>0</v>
      </c>
      <c r="F44" s="155">
        <f>F28+F37+F40+F41+F42+F43</f>
        <v>3.2</v>
      </c>
      <c r="G44" s="155">
        <f>G28+G37+G40+G41+G42+G43</f>
        <v>3.2</v>
      </c>
      <c r="H44" s="29"/>
    </row>
    <row r="45" spans="1:7" s="32" customFormat="1" ht="15" customHeight="1">
      <c r="A45" s="204" t="s">
        <v>108</v>
      </c>
      <c r="B45" s="205"/>
      <c r="C45" s="205"/>
      <c r="D45" s="205"/>
      <c r="E45" s="205"/>
      <c r="F45" s="205"/>
      <c r="G45" s="206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30</v>
      </c>
      <c r="F46" s="207" t="s">
        <v>31</v>
      </c>
      <c r="G46" s="208"/>
    </row>
    <row r="47" spans="1:7" s="2" customFormat="1" ht="25.5" customHeight="1">
      <c r="A47" s="13"/>
      <c r="B47" s="26" t="s">
        <v>36</v>
      </c>
      <c r="C47" s="22" t="s">
        <v>12</v>
      </c>
      <c r="D47" s="21">
        <v>1</v>
      </c>
      <c r="E47" s="23"/>
      <c r="F47" s="23"/>
      <c r="G47" s="23"/>
    </row>
    <row r="48" spans="1:7" s="2" customFormat="1" ht="15">
      <c r="A48" s="13"/>
      <c r="B48" s="26" t="s">
        <v>37</v>
      </c>
      <c r="C48" s="22" t="s">
        <v>12</v>
      </c>
      <c r="D48" s="21">
        <v>1</v>
      </c>
      <c r="E48" s="23"/>
      <c r="F48" s="23"/>
      <c r="G48" s="23"/>
    </row>
    <row r="49" spans="1:7" s="2" customFormat="1" ht="15">
      <c r="A49" s="13"/>
      <c r="B49" s="26" t="s">
        <v>38</v>
      </c>
      <c r="C49" s="22" t="s">
        <v>12</v>
      </c>
      <c r="D49" s="21">
        <v>1</v>
      </c>
      <c r="E49" s="23"/>
      <c r="F49" s="23"/>
      <c r="G49" s="23"/>
    </row>
    <row r="50" spans="1:7" s="2" customFormat="1" ht="15">
      <c r="A50" s="13"/>
      <c r="B50" s="26" t="s">
        <v>39</v>
      </c>
      <c r="C50" s="22" t="s">
        <v>12</v>
      </c>
      <c r="D50" s="21">
        <v>1</v>
      </c>
      <c r="E50" s="23"/>
      <c r="F50" s="23"/>
      <c r="G50" s="23"/>
    </row>
    <row r="51" spans="1:7" s="2" customFormat="1" ht="15">
      <c r="A51" s="13"/>
      <c r="B51" s="26" t="s">
        <v>40</v>
      </c>
      <c r="C51" s="22" t="s">
        <v>12</v>
      </c>
      <c r="D51" s="15">
        <v>1</v>
      </c>
      <c r="E51" s="23"/>
      <c r="F51" s="20"/>
      <c r="G51" s="19"/>
    </row>
    <row r="52" spans="1:7" s="2" customFormat="1" ht="15">
      <c r="A52" s="13"/>
      <c r="B52" s="14"/>
      <c r="C52" s="22"/>
      <c r="D52" s="21"/>
      <c r="E52" s="23"/>
      <c r="F52" s="23"/>
      <c r="G52" s="23"/>
    </row>
    <row r="53" spans="1:7" s="2" customFormat="1" ht="15">
      <c r="A53" s="209" t="s">
        <v>41</v>
      </c>
      <c r="B53" s="210"/>
      <c r="C53" s="211"/>
      <c r="D53" s="15"/>
      <c r="E53" s="23">
        <f>SUM(E47:E52)</f>
        <v>0</v>
      </c>
      <c r="F53" s="17"/>
      <c r="G53" s="15"/>
    </row>
    <row r="54" spans="1:7" s="2" customFormat="1" ht="15">
      <c r="A54" s="36"/>
      <c r="B54" s="8"/>
      <c r="C54" s="8"/>
      <c r="D54" s="24"/>
      <c r="E54" s="31"/>
      <c r="F54" s="25"/>
      <c r="G54" s="24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="2" customFormat="1" ht="15">
      <c r="A58" s="35"/>
    </row>
    <row r="59" spans="1:7" s="2" customFormat="1" ht="15">
      <c r="A59" s="201" t="s">
        <v>9</v>
      </c>
      <c r="B59" s="201"/>
      <c r="C59" s="201"/>
      <c r="D59" s="201"/>
      <c r="E59" s="202">
        <f>G44+E53</f>
        <v>3.2</v>
      </c>
      <c r="F59" s="202"/>
      <c r="G59" s="202"/>
    </row>
    <row r="60" spans="1:10" s="2" customFormat="1" ht="15">
      <c r="A60" s="35"/>
      <c r="G60" s="9"/>
      <c r="J60" s="2" t="s">
        <v>61</v>
      </c>
    </row>
    <row r="61" s="2" customFormat="1" ht="15">
      <c r="A61" s="35"/>
    </row>
    <row r="62" s="2" customFormat="1" ht="15">
      <c r="A62" s="35"/>
    </row>
    <row r="63" s="2" customFormat="1" ht="15">
      <c r="A63" s="35"/>
    </row>
    <row r="64" spans="1:5" s="2" customFormat="1" ht="15">
      <c r="A64" s="190" t="s">
        <v>32</v>
      </c>
      <c r="B64" s="190"/>
      <c r="E64" s="2" t="s">
        <v>10</v>
      </c>
    </row>
    <row r="65" spans="1:5" s="2" customFormat="1" ht="15">
      <c r="A65" s="190" t="s">
        <v>1</v>
      </c>
      <c r="B65" s="190"/>
      <c r="E65" s="2" t="s">
        <v>110</v>
      </c>
    </row>
    <row r="66" spans="1:5" s="2" customFormat="1" ht="30" customHeight="1">
      <c r="A66" s="198" t="s">
        <v>137</v>
      </c>
      <c r="B66" s="198"/>
      <c r="C66" s="18"/>
      <c r="E66" s="2" t="s">
        <v>11</v>
      </c>
    </row>
    <row r="67" s="2" customFormat="1" ht="15">
      <c r="A67" s="35"/>
    </row>
    <row r="68" s="2" customFormat="1" ht="15">
      <c r="A68" s="35"/>
    </row>
    <row r="69" s="2" customFormat="1" ht="15">
      <c r="A69" s="35"/>
    </row>
    <row r="70" s="2" customFormat="1" ht="15">
      <c r="A70" s="35"/>
    </row>
  </sheetData>
  <sheetProtection/>
  <mergeCells count="17">
    <mergeCell ref="A64:B64"/>
    <mergeCell ref="A65:B65"/>
    <mergeCell ref="A66:B66"/>
    <mergeCell ref="A45:G45"/>
    <mergeCell ref="F46:G46"/>
    <mergeCell ref="A53:C53"/>
    <mergeCell ref="A59:D59"/>
    <mergeCell ref="E59:G59"/>
    <mergeCell ref="A37:C37"/>
    <mergeCell ref="A1:B1"/>
    <mergeCell ref="A3:E3"/>
    <mergeCell ref="A5:H5"/>
    <mergeCell ref="A6:H6"/>
    <mergeCell ref="B7:H7"/>
    <mergeCell ref="B11:G11"/>
    <mergeCell ref="A28:B28"/>
    <mergeCell ref="B29:G29"/>
  </mergeCells>
  <printOptions/>
  <pageMargins left="0.21" right="0.17" top="0.37" bottom="0.75" header="0.25" footer="0.2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E15" sqref="E15"/>
    </sheetView>
  </sheetViews>
  <sheetFormatPr defaultColWidth="9.140625" defaultRowHeight="15"/>
  <cols>
    <col min="1" max="1" width="5.140625" style="39" customWidth="1"/>
    <col min="2" max="2" width="43.14062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6.57421875" style="10" customWidth="1"/>
    <col min="9" max="16384" width="9.140625" style="10" customWidth="1"/>
  </cols>
  <sheetData>
    <row r="1" spans="1:5" s="2" customFormat="1" ht="15">
      <c r="A1" s="199" t="s">
        <v>0</v>
      </c>
      <c r="B1" s="199"/>
      <c r="C1" s="1" t="s">
        <v>176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171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159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v>7250.94</v>
      </c>
      <c r="F13" s="19">
        <v>600</v>
      </c>
      <c r="G13" s="19">
        <f aca="true" t="shared" si="0" ref="G13:G27">E13+F13</f>
        <v>7850.94</v>
      </c>
      <c r="H13" s="15"/>
    </row>
    <row r="14" spans="1:8" s="4" customFormat="1" ht="15">
      <c r="A14" s="37"/>
      <c r="B14" s="168" t="s">
        <v>141</v>
      </c>
      <c r="C14" s="126"/>
      <c r="D14" s="27"/>
      <c r="E14" s="28">
        <v>0</v>
      </c>
      <c r="F14" s="28"/>
      <c r="G14" s="28">
        <f>E14</f>
        <v>0</v>
      </c>
      <c r="H14" s="27"/>
    </row>
    <row r="15" spans="1:11" s="2" customFormat="1" ht="30" customHeight="1">
      <c r="A15" s="13" t="s">
        <v>19</v>
      </c>
      <c r="B15" s="118" t="s">
        <v>118</v>
      </c>
      <c r="C15" s="11" t="s">
        <v>12</v>
      </c>
      <c r="D15" s="15">
        <v>1</v>
      </c>
      <c r="E15" s="19">
        <v>1873.33</v>
      </c>
      <c r="F15" s="19"/>
      <c r="G15" s="19">
        <f t="shared" si="0"/>
        <v>1873.33</v>
      </c>
      <c r="H15" s="15"/>
      <c r="K15" s="19">
        <v>1873.33</v>
      </c>
    </row>
    <row r="16" spans="1:8" s="2" customFormat="1" ht="15" customHeight="1">
      <c r="A16" s="13" t="s">
        <v>20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21</v>
      </c>
      <c r="B17" s="55" t="s">
        <v>68</v>
      </c>
      <c r="C17" s="11"/>
      <c r="D17" s="15">
        <v>1</v>
      </c>
      <c r="E17" s="19">
        <v>1133.92</v>
      </c>
      <c r="F17" s="19"/>
      <c r="G17" s="19">
        <f t="shared" si="0"/>
        <v>1133.92</v>
      </c>
      <c r="H17" s="15"/>
    </row>
    <row r="18" spans="1:8" s="2" customFormat="1" ht="15" customHeight="1">
      <c r="A18" s="13" t="s">
        <v>22</v>
      </c>
      <c r="B18" s="55" t="s">
        <v>69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23</v>
      </c>
      <c r="B19" s="55" t="s">
        <v>72</v>
      </c>
      <c r="C19" s="11"/>
      <c r="D19" s="15">
        <v>1</v>
      </c>
      <c r="E19" s="19">
        <v>2074.62</v>
      </c>
      <c r="F19" s="19"/>
      <c r="G19" s="19">
        <f t="shared" si="0"/>
        <v>2074.62</v>
      </c>
      <c r="H19" s="15"/>
    </row>
    <row r="20" spans="1:8" s="2" customFormat="1" ht="15" customHeight="1">
      <c r="A20" s="13" t="s">
        <v>24</v>
      </c>
      <c r="B20" s="55" t="s">
        <v>70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25</v>
      </c>
      <c r="B21" s="122" t="s">
        <v>34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98</v>
      </c>
      <c r="B22" s="122" t="s">
        <v>119</v>
      </c>
      <c r="C22" s="11" t="s">
        <v>12</v>
      </c>
      <c r="D22" s="15">
        <v>1</v>
      </c>
      <c r="E22" s="16">
        <v>1704.78</v>
      </c>
      <c r="F22" s="19"/>
      <c r="G22" s="19">
        <f t="shared" si="0"/>
        <v>1704.78</v>
      </c>
      <c r="H22" s="15"/>
    </row>
    <row r="23" spans="1:10" s="2" customFormat="1" ht="15">
      <c r="A23" s="13" t="s">
        <v>99</v>
      </c>
      <c r="B23" s="118" t="s">
        <v>120</v>
      </c>
      <c r="C23" s="11" t="s">
        <v>12</v>
      </c>
      <c r="D23" s="15">
        <v>1</v>
      </c>
      <c r="E23" s="16">
        <v>3699.37</v>
      </c>
      <c r="F23" s="19">
        <v>628</v>
      </c>
      <c r="G23" s="19">
        <f t="shared" si="0"/>
        <v>4327.37</v>
      </c>
      <c r="H23" s="15"/>
      <c r="J23" s="2">
        <f>E23</f>
        <v>3699.37</v>
      </c>
    </row>
    <row r="24" spans="1:8" s="2" customFormat="1" ht="15">
      <c r="A24" s="13" t="s">
        <v>143</v>
      </c>
      <c r="B24" s="122" t="s">
        <v>121</v>
      </c>
      <c r="C24" s="11" t="s">
        <v>12</v>
      </c>
      <c r="D24" s="15">
        <v>1</v>
      </c>
      <c r="E24" s="16">
        <v>6364.51</v>
      </c>
      <c r="F24" s="19"/>
      <c r="G24" s="19">
        <f t="shared" si="0"/>
        <v>6364.51</v>
      </c>
      <c r="H24" s="15"/>
    </row>
    <row r="25" spans="1:8" s="2" customFormat="1" ht="27.75" customHeight="1">
      <c r="A25" s="13" t="s">
        <v>144</v>
      </c>
      <c r="B25" s="144" t="s">
        <v>122</v>
      </c>
      <c r="C25" s="11" t="s">
        <v>12</v>
      </c>
      <c r="D25" s="15">
        <v>1</v>
      </c>
      <c r="E25" s="16">
        <v>8614.82</v>
      </c>
      <c r="F25" s="19"/>
      <c r="G25" s="19">
        <f t="shared" si="0"/>
        <v>8614.82</v>
      </c>
      <c r="H25" s="15"/>
    </row>
    <row r="26" spans="1:8" s="2" customFormat="1" ht="15">
      <c r="A26" s="13" t="s">
        <v>145</v>
      </c>
      <c r="B26" s="145" t="s">
        <v>103</v>
      </c>
      <c r="C26" s="11" t="s">
        <v>12</v>
      </c>
      <c r="D26" s="15">
        <v>1</v>
      </c>
      <c r="E26" s="16">
        <v>1515.36</v>
      </c>
      <c r="F26" s="19"/>
      <c r="G26" s="19">
        <f t="shared" si="0"/>
        <v>1515.36</v>
      </c>
      <c r="H26" s="15"/>
    </row>
    <row r="27" spans="1:8" s="2" customFormat="1" ht="15">
      <c r="A27" s="13" t="s">
        <v>146</v>
      </c>
      <c r="B27" s="145" t="s">
        <v>104</v>
      </c>
      <c r="C27" s="11" t="s">
        <v>12</v>
      </c>
      <c r="D27" s="15">
        <v>1</v>
      </c>
      <c r="E27" s="19">
        <v>378.84</v>
      </c>
      <c r="F27" s="19"/>
      <c r="G27" s="19">
        <f t="shared" si="0"/>
        <v>378.84</v>
      </c>
      <c r="H27" s="15"/>
    </row>
    <row r="28" spans="1:10" s="2" customFormat="1" ht="17.25" customHeight="1">
      <c r="A28" s="214" t="s">
        <v>123</v>
      </c>
      <c r="B28" s="215"/>
      <c r="C28" s="146"/>
      <c r="D28" s="29"/>
      <c r="E28" s="30">
        <f>E13+E15+E16+E17+E18+E19+E20+E21+E22+E23+E24+E25+E26+E27</f>
        <v>35221.49</v>
      </c>
      <c r="F28" s="30">
        <f>F13+F15+F16+F17+F18+F19+F20+F21+F22+F23+F24+F25+F26+F27</f>
        <v>1228</v>
      </c>
      <c r="G28" s="30">
        <f>G13+G15+G16+G17+G18+G19+G20+G21+G22+G23+G24+G25+G26+G27</f>
        <v>36449.49</v>
      </c>
      <c r="H28" s="29"/>
      <c r="J28" s="9">
        <f>E13+E15+E16+E21+E22+E23+E24+E25+E26+E27</f>
        <v>32012.95</v>
      </c>
    </row>
    <row r="29" spans="1:8" s="2" customFormat="1" ht="33.75" customHeight="1">
      <c r="A29" s="143" t="s">
        <v>124</v>
      </c>
      <c r="B29" s="212" t="s">
        <v>125</v>
      </c>
      <c r="C29" s="213"/>
      <c r="D29" s="213"/>
      <c r="E29" s="213"/>
      <c r="F29" s="213"/>
      <c r="G29" s="213"/>
      <c r="H29" s="116"/>
    </row>
    <row r="30" spans="1:8" s="2" customFormat="1" ht="36.75" customHeight="1">
      <c r="A30" s="13" t="s">
        <v>3</v>
      </c>
      <c r="B30" s="11" t="s">
        <v>29</v>
      </c>
      <c r="C30" s="11" t="s">
        <v>5</v>
      </c>
      <c r="D30" s="11" t="s">
        <v>6</v>
      </c>
      <c r="E30" s="12" t="s">
        <v>13</v>
      </c>
      <c r="F30" s="12" t="s">
        <v>28</v>
      </c>
      <c r="G30" s="11" t="s">
        <v>14</v>
      </c>
      <c r="H30" s="11" t="s">
        <v>7</v>
      </c>
    </row>
    <row r="31" spans="1:8" s="2" customFormat="1" ht="30" customHeight="1">
      <c r="A31" s="13" t="s">
        <v>26</v>
      </c>
      <c r="B31" s="118" t="s">
        <v>135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4">
        <f>F28+F37</f>
        <v>1228</v>
      </c>
    </row>
    <row r="34" spans="1:8" s="2" customFormat="1" ht="26.25" customHeight="1">
      <c r="A34" s="13" t="s">
        <v>27</v>
      </c>
      <c r="B34" s="118" t="s">
        <v>136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14" t="s">
        <v>127</v>
      </c>
      <c r="B37" s="215"/>
      <c r="C37" s="216"/>
      <c r="D37" s="29"/>
      <c r="E37" s="30">
        <f>E31+E34</f>
        <v>0</v>
      </c>
      <c r="F37" s="30">
        <f>SUM(F31:F34)</f>
        <v>0</v>
      </c>
      <c r="G37" s="30">
        <f>G31+G34</f>
        <v>0</v>
      </c>
      <c r="H37" s="29"/>
    </row>
    <row r="38" s="2" customFormat="1" ht="9.75" customHeight="1">
      <c r="A38" s="35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30</v>
      </c>
      <c r="F39" s="12" t="s">
        <v>28</v>
      </c>
      <c r="G39" s="11" t="s">
        <v>14</v>
      </c>
      <c r="H39" s="11" t="s">
        <v>7</v>
      </c>
    </row>
    <row r="40" spans="1:9" s="2" customFormat="1" ht="15">
      <c r="A40" s="147" t="s">
        <v>128</v>
      </c>
      <c r="B40" s="127" t="s">
        <v>129</v>
      </c>
      <c r="C40" s="22" t="s">
        <v>12</v>
      </c>
      <c r="D40" s="21">
        <v>1</v>
      </c>
      <c r="E40" s="23">
        <v>3626.99</v>
      </c>
      <c r="F40" s="23"/>
      <c r="G40" s="23">
        <f>E40+F40</f>
        <v>3626.99</v>
      </c>
      <c r="H40" s="29"/>
      <c r="I40" s="2" t="s">
        <v>61</v>
      </c>
    </row>
    <row r="41" spans="1:8" s="2" customFormat="1" ht="15">
      <c r="A41" s="147" t="s">
        <v>130</v>
      </c>
      <c r="B41" s="127" t="s">
        <v>15</v>
      </c>
      <c r="C41" s="22" t="s">
        <v>12</v>
      </c>
      <c r="D41" s="21">
        <v>1</v>
      </c>
      <c r="E41" s="23">
        <v>8333.38</v>
      </c>
      <c r="F41" s="23"/>
      <c r="G41" s="23">
        <f>E41+F41</f>
        <v>8333.38</v>
      </c>
      <c r="H41" s="29"/>
    </row>
    <row r="42" spans="1:8" s="2" customFormat="1" ht="15">
      <c r="A42" s="147" t="s">
        <v>107</v>
      </c>
      <c r="B42" s="127" t="s">
        <v>131</v>
      </c>
      <c r="C42" s="22" t="s">
        <v>12</v>
      </c>
      <c r="D42" s="21">
        <v>1</v>
      </c>
      <c r="E42" s="23">
        <v>14529.2</v>
      </c>
      <c r="F42" s="23"/>
      <c r="G42" s="23">
        <f>E42+F42</f>
        <v>14529.2</v>
      </c>
      <c r="H42" s="29"/>
    </row>
    <row r="43" spans="1:7" s="34" customFormat="1" ht="28.5">
      <c r="A43" s="38" t="s">
        <v>132</v>
      </c>
      <c r="B43" s="135" t="s">
        <v>35</v>
      </c>
      <c r="C43" s="33" t="s">
        <v>12</v>
      </c>
      <c r="D43" s="148">
        <v>1</v>
      </c>
      <c r="E43" s="149">
        <v>5490.72</v>
      </c>
      <c r="F43" s="150"/>
      <c r="G43" s="23">
        <f>E43+F43</f>
        <v>5490.72</v>
      </c>
    </row>
    <row r="44" spans="1:8" s="2" customFormat="1" ht="15">
      <c r="A44" s="151"/>
      <c r="B44" s="152" t="s">
        <v>133</v>
      </c>
      <c r="C44" s="153"/>
      <c r="D44" s="154"/>
      <c r="E44" s="155">
        <f>E28+E37+E40+E41+E42+E43</f>
        <v>67201.78</v>
      </c>
      <c r="F44" s="155">
        <f>F28+F37+F40+F41+F42+F43</f>
        <v>1228</v>
      </c>
      <c r="G44" s="155">
        <f>G28+G37+G40+G41+G42+G43</f>
        <v>68429.78</v>
      </c>
      <c r="H44" s="29"/>
    </row>
    <row r="45" spans="1:7" s="32" customFormat="1" ht="15" customHeight="1">
      <c r="A45" s="204" t="s">
        <v>108</v>
      </c>
      <c r="B45" s="205"/>
      <c r="C45" s="205"/>
      <c r="D45" s="205"/>
      <c r="E45" s="205"/>
      <c r="F45" s="205"/>
      <c r="G45" s="206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30</v>
      </c>
      <c r="F46" s="207" t="s">
        <v>31</v>
      </c>
      <c r="G46" s="208"/>
    </row>
    <row r="47" spans="1:7" s="2" customFormat="1" ht="25.5" customHeight="1">
      <c r="A47" s="13"/>
      <c r="B47" s="26" t="s">
        <v>36</v>
      </c>
      <c r="C47" s="22" t="s">
        <v>12</v>
      </c>
      <c r="D47" s="21">
        <v>1</v>
      </c>
      <c r="E47" s="23">
        <v>27700.65</v>
      </c>
      <c r="F47" s="23"/>
      <c r="G47" s="23"/>
    </row>
    <row r="48" spans="1:7" s="2" customFormat="1" ht="15">
      <c r="A48" s="13"/>
      <c r="B48" s="26" t="s">
        <v>37</v>
      </c>
      <c r="C48" s="22" t="s">
        <v>12</v>
      </c>
      <c r="D48" s="21">
        <v>1</v>
      </c>
      <c r="E48" s="23">
        <v>23548.95</v>
      </c>
      <c r="F48" s="23"/>
      <c r="G48" s="23"/>
    </row>
    <row r="49" spans="1:7" s="2" customFormat="1" ht="15">
      <c r="A49" s="13"/>
      <c r="B49" s="26" t="s">
        <v>38</v>
      </c>
      <c r="C49" s="22" t="s">
        <v>12</v>
      </c>
      <c r="D49" s="21">
        <v>1</v>
      </c>
      <c r="E49" s="23">
        <v>16718.76</v>
      </c>
      <c r="F49" s="23"/>
      <c r="G49" s="23"/>
    </row>
    <row r="50" spans="1:7" s="2" customFormat="1" ht="15">
      <c r="A50" s="13"/>
      <c r="B50" s="26" t="s">
        <v>39</v>
      </c>
      <c r="C50" s="22" t="s">
        <v>12</v>
      </c>
      <c r="D50" s="21">
        <v>1</v>
      </c>
      <c r="E50" s="23">
        <v>7972.27</v>
      </c>
      <c r="F50" s="23"/>
      <c r="G50" s="23"/>
    </row>
    <row r="51" spans="1:7" s="2" customFormat="1" ht="15">
      <c r="A51" s="13"/>
      <c r="B51" s="26" t="s">
        <v>40</v>
      </c>
      <c r="C51" s="22" t="s">
        <v>12</v>
      </c>
      <c r="D51" s="15">
        <v>1</v>
      </c>
      <c r="E51" s="23">
        <v>10069.99</v>
      </c>
      <c r="F51" s="20"/>
      <c r="G51" s="19"/>
    </row>
    <row r="52" spans="1:7" s="2" customFormat="1" ht="15">
      <c r="A52" s="13"/>
      <c r="B52" s="14"/>
      <c r="C52" s="22"/>
      <c r="D52" s="21"/>
      <c r="E52" s="23"/>
      <c r="F52" s="23"/>
      <c r="G52" s="23"/>
    </row>
    <row r="53" spans="1:7" s="2" customFormat="1" ht="15">
      <c r="A53" s="209" t="s">
        <v>41</v>
      </c>
      <c r="B53" s="210"/>
      <c r="C53" s="211"/>
      <c r="D53" s="15"/>
      <c r="E53" s="23">
        <f>SUM(E47:E52)</f>
        <v>86010.62000000001</v>
      </c>
      <c r="F53" s="17"/>
      <c r="G53" s="15"/>
    </row>
    <row r="54" spans="1:7" s="2" customFormat="1" ht="15">
      <c r="A54" s="36"/>
      <c r="B54" s="8"/>
      <c r="C54" s="8"/>
      <c r="D54" s="24"/>
      <c r="E54" s="31"/>
      <c r="F54" s="25"/>
      <c r="G54" s="24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="2" customFormat="1" ht="15">
      <c r="A58" s="35"/>
    </row>
    <row r="59" spans="1:7" s="2" customFormat="1" ht="15">
      <c r="A59" s="201" t="s">
        <v>9</v>
      </c>
      <c r="B59" s="201"/>
      <c r="C59" s="201"/>
      <c r="D59" s="201"/>
      <c r="E59" s="202">
        <f>G44+E53</f>
        <v>154440.40000000002</v>
      </c>
      <c r="F59" s="202"/>
      <c r="G59" s="202"/>
    </row>
    <row r="60" spans="1:10" s="2" customFormat="1" ht="15">
      <c r="A60" s="35"/>
      <c r="G60" s="9"/>
      <c r="J60" s="2" t="s">
        <v>61</v>
      </c>
    </row>
    <row r="61" s="2" customFormat="1" ht="15">
      <c r="A61" s="35"/>
    </row>
    <row r="62" s="2" customFormat="1" ht="15">
      <c r="A62" s="35"/>
    </row>
    <row r="63" s="2" customFormat="1" ht="15">
      <c r="A63" s="35"/>
    </row>
    <row r="64" spans="1:5" s="2" customFormat="1" ht="15">
      <c r="A64" s="190" t="s">
        <v>32</v>
      </c>
      <c r="B64" s="190"/>
      <c r="E64" s="2" t="s">
        <v>10</v>
      </c>
    </row>
    <row r="65" spans="1:5" s="2" customFormat="1" ht="15">
      <c r="A65" s="190" t="s">
        <v>1</v>
      </c>
      <c r="B65" s="190"/>
      <c r="E65" s="2" t="s">
        <v>180</v>
      </c>
    </row>
    <row r="66" spans="1:5" s="2" customFormat="1" ht="30" customHeight="1">
      <c r="A66" s="198" t="s">
        <v>137</v>
      </c>
      <c r="B66" s="198"/>
      <c r="C66" s="18"/>
      <c r="E66" s="2" t="s">
        <v>179</v>
      </c>
    </row>
    <row r="67" s="2" customFormat="1" ht="15">
      <c r="A67" s="35"/>
    </row>
    <row r="68" s="2" customFormat="1" ht="15">
      <c r="A68" s="35"/>
    </row>
    <row r="69" s="2" customFormat="1" ht="15">
      <c r="A69" s="35"/>
    </row>
    <row r="70" s="2" customFormat="1" ht="15">
      <c r="A70" s="35"/>
    </row>
  </sheetData>
  <sheetProtection/>
  <mergeCells count="17">
    <mergeCell ref="A64:B64"/>
    <mergeCell ref="A65:B65"/>
    <mergeCell ref="A66:B66"/>
    <mergeCell ref="A45:G45"/>
    <mergeCell ref="F46:G46"/>
    <mergeCell ref="A53:C53"/>
    <mergeCell ref="A59:D59"/>
    <mergeCell ref="E59:G59"/>
    <mergeCell ref="A37:C37"/>
    <mergeCell ref="A1:B1"/>
    <mergeCell ref="A3:E3"/>
    <mergeCell ref="A5:H5"/>
    <mergeCell ref="A6:H6"/>
    <mergeCell ref="B7:H7"/>
    <mergeCell ref="B11:G11"/>
    <mergeCell ref="A28:B28"/>
    <mergeCell ref="B29:G29"/>
  </mergeCells>
  <printOptions/>
  <pageMargins left="0.33" right="0.17" top="0.41" bottom="0.7" header="0.27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0">
      <selection activeCell="G48" sqref="G48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160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161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/>
      <c r="D13" s="15"/>
      <c r="E13" s="19">
        <f>E15+E17+E18</f>
        <v>13463</v>
      </c>
      <c r="F13" s="19"/>
      <c r="G13" s="19">
        <f>G15+G17+G18</f>
        <v>14319.7</v>
      </c>
      <c r="H13" s="15"/>
    </row>
    <row r="14" spans="1:8" s="2" customFormat="1" ht="15">
      <c r="A14" s="13"/>
      <c r="B14" s="118" t="s">
        <v>185</v>
      </c>
      <c r="C14" s="11"/>
      <c r="D14" s="15"/>
      <c r="E14" s="19"/>
      <c r="F14" s="19"/>
      <c r="G14" s="19"/>
      <c r="H14" s="15"/>
    </row>
    <row r="15" spans="1:8" s="4" customFormat="1" ht="15">
      <c r="A15" s="37"/>
      <c r="B15" s="168" t="s">
        <v>186</v>
      </c>
      <c r="C15" s="126" t="s">
        <v>12</v>
      </c>
      <c r="D15" s="27">
        <v>1</v>
      </c>
      <c r="E15" s="28">
        <v>8463</v>
      </c>
      <c r="F15" s="28">
        <v>765</v>
      </c>
      <c r="G15" s="28">
        <f aca="true" t="shared" si="0" ref="G15:G31">E15+F15</f>
        <v>9228</v>
      </c>
      <c r="H15" s="27"/>
    </row>
    <row r="16" spans="1:8" s="4" customFormat="1" ht="15">
      <c r="A16" s="37"/>
      <c r="B16" s="168" t="s">
        <v>187</v>
      </c>
      <c r="C16" s="126"/>
      <c r="D16" s="27"/>
      <c r="E16" s="28"/>
      <c r="F16" s="28"/>
      <c r="G16" s="28">
        <f t="shared" si="0"/>
        <v>0</v>
      </c>
      <c r="H16" s="27"/>
    </row>
    <row r="17" spans="1:8" s="4" customFormat="1" ht="15">
      <c r="A17" s="37"/>
      <c r="B17" s="177" t="s">
        <v>181</v>
      </c>
      <c r="C17" s="126" t="s">
        <v>188</v>
      </c>
      <c r="D17" s="27">
        <v>1</v>
      </c>
      <c r="E17" s="28">
        <v>2500</v>
      </c>
      <c r="F17" s="28">
        <v>91.7</v>
      </c>
      <c r="G17" s="28">
        <f t="shared" si="0"/>
        <v>2591.7</v>
      </c>
      <c r="H17" s="27"/>
    </row>
    <row r="18" spans="1:8" s="4" customFormat="1" ht="15">
      <c r="A18" s="37"/>
      <c r="B18" s="177" t="s">
        <v>182</v>
      </c>
      <c r="C18" s="126" t="s">
        <v>188</v>
      </c>
      <c r="D18" s="27">
        <v>1</v>
      </c>
      <c r="E18" s="28">
        <v>2500</v>
      </c>
      <c r="F18" s="28"/>
      <c r="G18" s="28">
        <f t="shared" si="0"/>
        <v>2500</v>
      </c>
      <c r="H18" s="27"/>
    </row>
    <row r="19" spans="1:8" s="2" customFormat="1" ht="30" customHeight="1">
      <c r="A19" s="13" t="s">
        <v>19</v>
      </c>
      <c r="B19" s="118" t="s">
        <v>118</v>
      </c>
      <c r="C19" s="11" t="s">
        <v>12</v>
      </c>
      <c r="D19" s="15">
        <v>1</v>
      </c>
      <c r="E19" s="19">
        <v>2538.9</v>
      </c>
      <c r="F19" s="19">
        <f>343+125</f>
        <v>468</v>
      </c>
      <c r="G19" s="19">
        <f t="shared" si="0"/>
        <v>3006.9</v>
      </c>
      <c r="H19" s="15"/>
    </row>
    <row r="20" spans="1:8" s="2" customFormat="1" ht="15" customHeight="1">
      <c r="A20" s="13" t="s">
        <v>20</v>
      </c>
      <c r="B20" s="122" t="s">
        <v>16</v>
      </c>
      <c r="C20" s="11" t="s">
        <v>12</v>
      </c>
      <c r="D20" s="15">
        <v>1</v>
      </c>
      <c r="E20" s="19">
        <v>611</v>
      </c>
      <c r="F20" s="19"/>
      <c r="G20" s="19">
        <f t="shared" si="0"/>
        <v>611</v>
      </c>
      <c r="H20" s="15"/>
    </row>
    <row r="21" spans="1:8" s="2" customFormat="1" ht="15" customHeight="1">
      <c r="A21" s="13" t="s">
        <v>21</v>
      </c>
      <c r="B21" s="55" t="s">
        <v>68</v>
      </c>
      <c r="C21" s="11"/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 customHeight="1">
      <c r="A22" s="13" t="s">
        <v>22</v>
      </c>
      <c r="B22" s="55" t="s">
        <v>69</v>
      </c>
      <c r="C22" s="11"/>
      <c r="D22" s="15">
        <v>1</v>
      </c>
      <c r="E22" s="19"/>
      <c r="F22" s="19"/>
      <c r="G22" s="19">
        <f t="shared" si="0"/>
        <v>0</v>
      </c>
      <c r="H22" s="15"/>
    </row>
    <row r="23" spans="1:8" s="2" customFormat="1" ht="15" customHeight="1">
      <c r="A23" s="13" t="s">
        <v>23</v>
      </c>
      <c r="B23" s="55" t="s">
        <v>72</v>
      </c>
      <c r="C23" s="11"/>
      <c r="D23" s="15">
        <v>1</v>
      </c>
      <c r="E23" s="19"/>
      <c r="F23" s="19"/>
      <c r="G23" s="19">
        <f t="shared" si="0"/>
        <v>0</v>
      </c>
      <c r="H23" s="15"/>
    </row>
    <row r="24" spans="1:8" s="2" customFormat="1" ht="15" customHeight="1">
      <c r="A24" s="13" t="s">
        <v>24</v>
      </c>
      <c r="B24" s="55" t="s">
        <v>70</v>
      </c>
      <c r="C24" s="11"/>
      <c r="D24" s="15">
        <v>1</v>
      </c>
      <c r="E24" s="19"/>
      <c r="F24" s="19"/>
      <c r="G24" s="19">
        <f t="shared" si="0"/>
        <v>0</v>
      </c>
      <c r="H24" s="15"/>
    </row>
    <row r="25" spans="1:8" s="2" customFormat="1" ht="15">
      <c r="A25" s="13" t="s">
        <v>25</v>
      </c>
      <c r="B25" s="122" t="s">
        <v>34</v>
      </c>
      <c r="C25" s="11" t="s">
        <v>12</v>
      </c>
      <c r="D25" s="15">
        <v>1</v>
      </c>
      <c r="E25" s="19">
        <v>953.05</v>
      </c>
      <c r="F25" s="19"/>
      <c r="G25" s="19">
        <f t="shared" si="0"/>
        <v>953.05</v>
      </c>
      <c r="H25" s="15"/>
    </row>
    <row r="26" spans="1:8" s="2" customFormat="1" ht="15">
      <c r="A26" s="13" t="s">
        <v>98</v>
      </c>
      <c r="B26" s="122" t="s">
        <v>119</v>
      </c>
      <c r="C26" s="11" t="s">
        <v>12</v>
      </c>
      <c r="D26" s="15">
        <v>1</v>
      </c>
      <c r="E26" s="16">
        <v>1704.78</v>
      </c>
      <c r="F26" s="19">
        <v>620</v>
      </c>
      <c r="G26" s="19">
        <f t="shared" si="0"/>
        <v>2324.7799999999997</v>
      </c>
      <c r="H26" s="15"/>
    </row>
    <row r="27" spans="1:10" s="2" customFormat="1" ht="30">
      <c r="A27" s="13" t="s">
        <v>99</v>
      </c>
      <c r="B27" s="118" t="s">
        <v>120</v>
      </c>
      <c r="C27" s="11" t="s">
        <v>12</v>
      </c>
      <c r="D27" s="15">
        <v>1</v>
      </c>
      <c r="E27" s="16">
        <v>3699.37</v>
      </c>
      <c r="F27" s="19">
        <v>1483</v>
      </c>
      <c r="G27" s="19">
        <f t="shared" si="0"/>
        <v>5182.37</v>
      </c>
      <c r="H27" s="15"/>
      <c r="J27" s="2">
        <f>E27</f>
        <v>3699.37</v>
      </c>
    </row>
    <row r="28" spans="1:8" s="2" customFormat="1" ht="15">
      <c r="A28" s="13" t="s">
        <v>143</v>
      </c>
      <c r="B28" s="122" t="s">
        <v>121</v>
      </c>
      <c r="C28" s="11" t="s">
        <v>12</v>
      </c>
      <c r="D28" s="15">
        <v>1</v>
      </c>
      <c r="E28" s="16">
        <f>1.68*H11</f>
        <v>6372.072</v>
      </c>
      <c r="F28" s="19"/>
      <c r="G28" s="19">
        <f t="shared" si="0"/>
        <v>6372.072</v>
      </c>
      <c r="H28" s="15"/>
    </row>
    <row r="29" spans="1:8" s="2" customFormat="1" ht="27.75" customHeight="1">
      <c r="A29" s="13" t="s">
        <v>144</v>
      </c>
      <c r="B29" s="144" t="s">
        <v>122</v>
      </c>
      <c r="C29" s="11" t="s">
        <v>12</v>
      </c>
      <c r="D29" s="15">
        <v>1</v>
      </c>
      <c r="E29" s="16">
        <f>2.274*H11</f>
        <v>8625.0546</v>
      </c>
      <c r="F29" s="19"/>
      <c r="G29" s="19">
        <f t="shared" si="0"/>
        <v>8625.0546</v>
      </c>
      <c r="H29" s="15"/>
    </row>
    <row r="30" spans="1:8" s="2" customFormat="1" ht="15">
      <c r="A30" s="13" t="s">
        <v>145</v>
      </c>
      <c r="B30" s="145" t="s">
        <v>103</v>
      </c>
      <c r="C30" s="11" t="s">
        <v>12</v>
      </c>
      <c r="D30" s="15">
        <v>1</v>
      </c>
      <c r="E30" s="16">
        <f>0.4*H11</f>
        <v>1517.16</v>
      </c>
      <c r="F30" s="19"/>
      <c r="G30" s="19">
        <f t="shared" si="0"/>
        <v>1517.16</v>
      </c>
      <c r="H30" s="15"/>
    </row>
    <row r="31" spans="1:8" s="2" customFormat="1" ht="15">
      <c r="A31" s="13" t="s">
        <v>146</v>
      </c>
      <c r="B31" s="145" t="s">
        <v>104</v>
      </c>
      <c r="C31" s="11" t="s">
        <v>12</v>
      </c>
      <c r="D31" s="15">
        <v>1</v>
      </c>
      <c r="E31" s="19">
        <f>0.1*H11</f>
        <v>379.29</v>
      </c>
      <c r="F31" s="19"/>
      <c r="G31" s="19">
        <f t="shared" si="0"/>
        <v>379.29</v>
      </c>
      <c r="H31" s="15"/>
    </row>
    <row r="32" spans="1:10" s="2" customFormat="1" ht="17.25" customHeight="1">
      <c r="A32" s="214" t="s">
        <v>123</v>
      </c>
      <c r="B32" s="215"/>
      <c r="C32" s="146"/>
      <c r="D32" s="29"/>
      <c r="E32" s="30">
        <f>E13+E19+E20+E21+E22+E23+E24+E25+E26+E27+E28+E29+E30+E31</f>
        <v>39863.6766</v>
      </c>
      <c r="F32" s="30">
        <f>F13+F19+F20+F21+F22+F23+F24+F25+F26+F27+F28+F29+F30+F31+F15+F17</f>
        <v>3427.7</v>
      </c>
      <c r="G32" s="30">
        <f>G13+G19+G20+G21+G22+G23+G24+G25+G26+G27+G28+G29+G30+G31</f>
        <v>43291.37660000001</v>
      </c>
      <c r="H32" s="29"/>
      <c r="J32" s="9">
        <f>E13+E19+E20+E25+E26+E27+E28+E29+E30+E31</f>
        <v>39863.6766</v>
      </c>
    </row>
    <row r="33" spans="1:8" s="2" customFormat="1" ht="33.75" customHeight="1">
      <c r="A33" s="143" t="s">
        <v>124</v>
      </c>
      <c r="B33" s="212" t="s">
        <v>125</v>
      </c>
      <c r="C33" s="213"/>
      <c r="D33" s="213"/>
      <c r="E33" s="213"/>
      <c r="F33" s="213"/>
      <c r="G33" s="213"/>
      <c r="H33" s="116"/>
    </row>
    <row r="34" spans="1:8" s="2" customFormat="1" ht="36.75" customHeight="1">
      <c r="A34" s="13" t="s">
        <v>3</v>
      </c>
      <c r="B34" s="11" t="s">
        <v>29</v>
      </c>
      <c r="C34" s="11" t="s">
        <v>5</v>
      </c>
      <c r="D34" s="11" t="s">
        <v>6</v>
      </c>
      <c r="E34" s="12" t="s">
        <v>13</v>
      </c>
      <c r="F34" s="12" t="s">
        <v>28</v>
      </c>
      <c r="G34" s="11" t="s">
        <v>14</v>
      </c>
      <c r="H34" s="11" t="s">
        <v>7</v>
      </c>
    </row>
    <row r="35" spans="1:8" s="2" customFormat="1" ht="30" customHeight="1">
      <c r="A35" s="13" t="s">
        <v>26</v>
      </c>
      <c r="B35" s="118" t="s">
        <v>135</v>
      </c>
      <c r="C35" s="11" t="s">
        <v>12</v>
      </c>
      <c r="D35" s="15">
        <v>1</v>
      </c>
      <c r="E35" s="19">
        <f>E36+E37</f>
        <v>0</v>
      </c>
      <c r="F35" s="19">
        <f>F36+F37</f>
        <v>0</v>
      </c>
      <c r="G35" s="19">
        <f>G36+G37</f>
        <v>0</v>
      </c>
      <c r="H35" s="15"/>
    </row>
    <row r="36" spans="1:8" s="2" customFormat="1" ht="15">
      <c r="A36" s="13"/>
      <c r="B36" s="118"/>
      <c r="C36" s="11"/>
      <c r="D36" s="15"/>
      <c r="E36" s="19"/>
      <c r="F36" s="19"/>
      <c r="G36" s="19">
        <f>E36+F36</f>
        <v>0</v>
      </c>
      <c r="H36" s="15"/>
    </row>
    <row r="37" spans="1:10" s="2" customFormat="1" ht="15">
      <c r="A37" s="13"/>
      <c r="B37" s="118"/>
      <c r="C37" s="11"/>
      <c r="D37" s="15"/>
      <c r="E37" s="19"/>
      <c r="F37" s="19"/>
      <c r="G37" s="19">
        <f>E37+F37</f>
        <v>0</v>
      </c>
      <c r="H37" s="15"/>
      <c r="J37" s="164">
        <f>F15+F17+F19+F26+F27</f>
        <v>3427.7</v>
      </c>
    </row>
    <row r="38" spans="1:8" s="2" customFormat="1" ht="26.25" customHeight="1">
      <c r="A38" s="13" t="s">
        <v>27</v>
      </c>
      <c r="B38" s="118" t="s">
        <v>136</v>
      </c>
      <c r="C38" s="11" t="s">
        <v>12</v>
      </c>
      <c r="D38" s="15">
        <v>1</v>
      </c>
      <c r="E38" s="19">
        <f>E39+E40</f>
        <v>0</v>
      </c>
      <c r="F38" s="19">
        <v>0</v>
      </c>
      <c r="G38" s="19">
        <f>G39+G40</f>
        <v>0</v>
      </c>
      <c r="H38" s="15"/>
    </row>
    <row r="39" spans="1:8" s="2" customFormat="1" ht="15">
      <c r="A39" s="158"/>
      <c r="B39" s="159"/>
      <c r="C39" s="160"/>
      <c r="D39" s="15"/>
      <c r="E39" s="19"/>
      <c r="F39" s="19"/>
      <c r="G39" s="19">
        <f>E39+F39</f>
        <v>0</v>
      </c>
      <c r="H39" s="15"/>
    </row>
    <row r="40" spans="1:8" s="2" customFormat="1" ht="15">
      <c r="A40" s="158"/>
      <c r="B40" s="159"/>
      <c r="C40" s="160"/>
      <c r="D40" s="15"/>
      <c r="E40" s="19"/>
      <c r="F40" s="19"/>
      <c r="G40" s="19">
        <f>E40+F40</f>
        <v>0</v>
      </c>
      <c r="H40" s="15"/>
    </row>
    <row r="41" spans="1:8" s="2" customFormat="1" ht="24.75" customHeight="1">
      <c r="A41" s="214" t="s">
        <v>127</v>
      </c>
      <c r="B41" s="215"/>
      <c r="C41" s="216"/>
      <c r="D41" s="29"/>
      <c r="E41" s="30">
        <f>E35+E38</f>
        <v>0</v>
      </c>
      <c r="F41" s="30">
        <f>SUM(F35:F38)</f>
        <v>0</v>
      </c>
      <c r="G41" s="30">
        <f>G35+G38</f>
        <v>0</v>
      </c>
      <c r="H41" s="29"/>
    </row>
    <row r="42" s="2" customFormat="1" ht="9.75" customHeight="1">
      <c r="A42" s="35"/>
    </row>
    <row r="43" spans="1:8" s="2" customFormat="1" ht="36.75">
      <c r="A43" s="13" t="s">
        <v>3</v>
      </c>
      <c r="B43" s="11" t="s">
        <v>4</v>
      </c>
      <c r="C43" s="11" t="s">
        <v>5</v>
      </c>
      <c r="D43" s="11" t="s">
        <v>6</v>
      </c>
      <c r="E43" s="12" t="s">
        <v>30</v>
      </c>
      <c r="F43" s="12" t="s">
        <v>28</v>
      </c>
      <c r="G43" s="11" t="s">
        <v>14</v>
      </c>
      <c r="H43" s="11" t="s">
        <v>7</v>
      </c>
    </row>
    <row r="44" spans="1:9" s="2" customFormat="1" ht="15">
      <c r="A44" s="147" t="s">
        <v>128</v>
      </c>
      <c r="B44" s="127" t="s">
        <v>129</v>
      </c>
      <c r="C44" s="22" t="s">
        <v>12</v>
      </c>
      <c r="D44" s="21">
        <v>1</v>
      </c>
      <c r="E44" s="23">
        <v>3626.99</v>
      </c>
      <c r="F44" s="23"/>
      <c r="G44" s="23">
        <f>E44+F44</f>
        <v>3626.99</v>
      </c>
      <c r="H44" s="29"/>
      <c r="I44" s="2" t="s">
        <v>61</v>
      </c>
    </row>
    <row r="45" spans="1:8" s="2" customFormat="1" ht="15">
      <c r="A45" s="147" t="s">
        <v>130</v>
      </c>
      <c r="B45" s="127" t="s">
        <v>15</v>
      </c>
      <c r="C45" s="22" t="s">
        <v>12</v>
      </c>
      <c r="D45" s="21">
        <v>1</v>
      </c>
      <c r="E45" s="23">
        <v>8344.38</v>
      </c>
      <c r="F45" s="23"/>
      <c r="G45" s="23">
        <f>E45+F45</f>
        <v>8344.38</v>
      </c>
      <c r="H45" s="29"/>
    </row>
    <row r="46" spans="1:8" s="2" customFormat="1" ht="15">
      <c r="A46" s="147" t="s">
        <v>107</v>
      </c>
      <c r="B46" s="127" t="s">
        <v>131</v>
      </c>
      <c r="C46" s="22" t="s">
        <v>12</v>
      </c>
      <c r="D46" s="21">
        <v>1</v>
      </c>
      <c r="E46" s="23">
        <v>14529.2</v>
      </c>
      <c r="F46" s="23"/>
      <c r="G46" s="23">
        <f>E46+F46</f>
        <v>14529.2</v>
      </c>
      <c r="H46" s="29"/>
    </row>
    <row r="47" spans="1:7" s="34" customFormat="1" ht="28.5">
      <c r="A47" s="38" t="s">
        <v>132</v>
      </c>
      <c r="B47" s="135" t="s">
        <v>35</v>
      </c>
      <c r="C47" s="33" t="s">
        <v>12</v>
      </c>
      <c r="D47" s="148">
        <v>1</v>
      </c>
      <c r="E47" s="149">
        <v>5490.72</v>
      </c>
      <c r="F47" s="150"/>
      <c r="G47" s="23">
        <f>E47+F47</f>
        <v>5490.72</v>
      </c>
    </row>
    <row r="48" spans="1:8" s="2" customFormat="1" ht="15">
      <c r="A48" s="151"/>
      <c r="B48" s="152" t="s">
        <v>133</v>
      </c>
      <c r="C48" s="153"/>
      <c r="D48" s="154"/>
      <c r="E48" s="155">
        <f>E32+E41+E44+E45+E46+E47</f>
        <v>71854.9666</v>
      </c>
      <c r="F48" s="155">
        <f>F32+F41+F44+F45+F46+F47</f>
        <v>3427.7</v>
      </c>
      <c r="G48" s="155">
        <f>G32+G41+G44+G45+G46+G47</f>
        <v>75282.66660000001</v>
      </c>
      <c r="H48" s="29"/>
    </row>
    <row r="49" spans="1:7" s="32" customFormat="1" ht="15" customHeight="1">
      <c r="A49" s="204" t="s">
        <v>108</v>
      </c>
      <c r="B49" s="205"/>
      <c r="C49" s="205"/>
      <c r="D49" s="205"/>
      <c r="E49" s="205"/>
      <c r="F49" s="205"/>
      <c r="G49" s="206"/>
    </row>
    <row r="50" spans="1:7" s="2" customFormat="1" ht="33.75" customHeight="1">
      <c r="A50" s="13" t="s">
        <v>3</v>
      </c>
      <c r="B50" s="11" t="s">
        <v>4</v>
      </c>
      <c r="C50" s="11" t="s">
        <v>5</v>
      </c>
      <c r="D50" s="11" t="s">
        <v>6</v>
      </c>
      <c r="E50" s="12" t="s">
        <v>30</v>
      </c>
      <c r="F50" s="207" t="s">
        <v>31</v>
      </c>
      <c r="G50" s="208"/>
    </row>
    <row r="51" spans="1:7" s="2" customFormat="1" ht="25.5" customHeight="1">
      <c r="A51" s="13"/>
      <c r="B51" s="26" t="s">
        <v>36</v>
      </c>
      <c r="C51" s="22" t="s">
        <v>12</v>
      </c>
      <c r="D51" s="21">
        <v>1</v>
      </c>
      <c r="E51" s="23">
        <v>27871.07</v>
      </c>
      <c r="F51" s="23"/>
      <c r="G51" s="23"/>
    </row>
    <row r="52" spans="1:7" s="2" customFormat="1" ht="15">
      <c r="A52" s="13"/>
      <c r="B52" s="26" t="s">
        <v>37</v>
      </c>
      <c r="C52" s="22" t="s">
        <v>12</v>
      </c>
      <c r="D52" s="21">
        <v>1</v>
      </c>
      <c r="E52" s="23"/>
      <c r="F52" s="23"/>
      <c r="G52" s="23"/>
    </row>
    <row r="53" spans="1:7" s="2" customFormat="1" ht="15">
      <c r="A53" s="13"/>
      <c r="B53" s="26" t="s">
        <v>38</v>
      </c>
      <c r="C53" s="22" t="s">
        <v>12</v>
      </c>
      <c r="D53" s="21">
        <v>1</v>
      </c>
      <c r="E53" s="23">
        <v>15219.49</v>
      </c>
      <c r="F53" s="23"/>
      <c r="G53" s="23"/>
    </row>
    <row r="54" spans="1:7" s="2" customFormat="1" ht="15">
      <c r="A54" s="13"/>
      <c r="B54" s="26" t="s">
        <v>39</v>
      </c>
      <c r="C54" s="22" t="s">
        <v>12</v>
      </c>
      <c r="D54" s="21">
        <v>1</v>
      </c>
      <c r="E54" s="23">
        <v>8422.19</v>
      </c>
      <c r="F54" s="23"/>
      <c r="G54" s="23"/>
    </row>
    <row r="55" spans="1:7" s="2" customFormat="1" ht="15">
      <c r="A55" s="13"/>
      <c r="B55" s="26" t="s">
        <v>40</v>
      </c>
      <c r="C55" s="22" t="s">
        <v>12</v>
      </c>
      <c r="D55" s="15">
        <v>1</v>
      </c>
      <c r="E55" s="23">
        <v>11527.59</v>
      </c>
      <c r="F55" s="20"/>
      <c r="G55" s="19"/>
    </row>
    <row r="56" spans="1:7" s="2" customFormat="1" ht="15">
      <c r="A56" s="13"/>
      <c r="B56" s="14"/>
      <c r="C56" s="22"/>
      <c r="D56" s="21"/>
      <c r="E56" s="23"/>
      <c r="F56" s="23"/>
      <c r="G56" s="23"/>
    </row>
    <row r="57" spans="1:7" s="2" customFormat="1" ht="15">
      <c r="A57" s="209" t="s">
        <v>41</v>
      </c>
      <c r="B57" s="210"/>
      <c r="C57" s="211"/>
      <c r="D57" s="15"/>
      <c r="E57" s="23">
        <f>SUM(E51:E56)</f>
        <v>63040.34</v>
      </c>
      <c r="F57" s="17"/>
      <c r="G57" s="15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pans="1:7" s="2" customFormat="1" ht="15">
      <c r="A59" s="36"/>
      <c r="B59" s="8"/>
      <c r="C59" s="8"/>
      <c r="D59" s="24"/>
      <c r="E59" s="31"/>
      <c r="F59" s="25"/>
      <c r="G59" s="24"/>
    </row>
    <row r="60" spans="1:7" s="2" customFormat="1" ht="15">
      <c r="A60" s="36"/>
      <c r="B60" s="8"/>
      <c r="C60" s="8"/>
      <c r="D60" s="24"/>
      <c r="E60" s="31"/>
      <c r="F60" s="25"/>
      <c r="G60" s="24"/>
    </row>
    <row r="61" spans="1:7" s="2" customFormat="1" ht="15">
      <c r="A61" s="36"/>
      <c r="B61" s="8"/>
      <c r="C61" s="8"/>
      <c r="D61" s="24"/>
      <c r="E61" s="31"/>
      <c r="F61" s="25"/>
      <c r="G61" s="24"/>
    </row>
    <row r="62" s="2" customFormat="1" ht="15">
      <c r="A62" s="35"/>
    </row>
    <row r="63" spans="1:7" s="2" customFormat="1" ht="15">
      <c r="A63" s="201" t="s">
        <v>9</v>
      </c>
      <c r="B63" s="201"/>
      <c r="C63" s="201"/>
      <c r="D63" s="201"/>
      <c r="E63" s="202">
        <f>G48+E57</f>
        <v>138323.00660000002</v>
      </c>
      <c r="F63" s="202"/>
      <c r="G63" s="202"/>
    </row>
    <row r="64" spans="1:10" s="2" customFormat="1" ht="15">
      <c r="A64" s="35"/>
      <c r="G64" s="9"/>
      <c r="J64" s="2" t="s">
        <v>61</v>
      </c>
    </row>
    <row r="65" s="2" customFormat="1" ht="15">
      <c r="A65" s="35"/>
    </row>
    <row r="66" s="2" customFormat="1" ht="15">
      <c r="A66" s="35"/>
    </row>
    <row r="67" s="2" customFormat="1" ht="15">
      <c r="A67" s="35"/>
    </row>
    <row r="68" spans="1:5" s="2" customFormat="1" ht="15">
      <c r="A68" s="190" t="s">
        <v>32</v>
      </c>
      <c r="B68" s="190"/>
      <c r="E68" s="2" t="s">
        <v>10</v>
      </c>
    </row>
    <row r="69" spans="1:5" s="2" customFormat="1" ht="15">
      <c r="A69" s="190" t="s">
        <v>1</v>
      </c>
      <c r="B69" s="190"/>
      <c r="E69" s="2" t="s">
        <v>176</v>
      </c>
    </row>
    <row r="70" spans="1:5" s="2" customFormat="1" ht="30" customHeight="1">
      <c r="A70" s="198" t="s">
        <v>137</v>
      </c>
      <c r="B70" s="198"/>
      <c r="C70" s="18"/>
      <c r="E70" s="2" t="s">
        <v>179</v>
      </c>
    </row>
    <row r="71" s="2" customFormat="1" ht="15">
      <c r="A71" s="35"/>
    </row>
    <row r="72" s="2" customFormat="1" ht="15">
      <c r="A72" s="35"/>
    </row>
    <row r="73" s="2" customFormat="1" ht="15">
      <c r="A73" s="35"/>
    </row>
    <row r="74" s="2" customFormat="1" ht="15">
      <c r="A74" s="35"/>
    </row>
  </sheetData>
  <sheetProtection/>
  <mergeCells count="17">
    <mergeCell ref="A68:B68"/>
    <mergeCell ref="A69:B69"/>
    <mergeCell ref="A70:B70"/>
    <mergeCell ref="A41:C41"/>
    <mergeCell ref="A49:G49"/>
    <mergeCell ref="F50:G50"/>
    <mergeCell ref="A57:C57"/>
    <mergeCell ref="A63:D63"/>
    <mergeCell ref="E63:G63"/>
    <mergeCell ref="B33:G33"/>
    <mergeCell ref="B7:H7"/>
    <mergeCell ref="A1:B1"/>
    <mergeCell ref="A3:E3"/>
    <mergeCell ref="A5:H5"/>
    <mergeCell ref="A6:H6"/>
    <mergeCell ref="B11:G11"/>
    <mergeCell ref="A32:B32"/>
  </mergeCells>
  <printOptions/>
  <pageMargins left="0.29" right="0.23" top="0.66" bottom="0.47" header="0.5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E41" sqref="E41"/>
    </sheetView>
  </sheetViews>
  <sheetFormatPr defaultColWidth="9.140625" defaultRowHeight="15"/>
  <cols>
    <col min="1" max="1" width="5.140625" style="39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99" t="s">
        <v>0</v>
      </c>
      <c r="B1" s="199"/>
      <c r="C1" s="1" t="s">
        <v>177</v>
      </c>
      <c r="D1" s="1"/>
      <c r="E1" s="1"/>
    </row>
    <row r="2" s="2" customFormat="1" ht="15">
      <c r="A2" s="35"/>
    </row>
    <row r="3" spans="1:7" s="2" customFormat="1" ht="15">
      <c r="A3" s="199" t="s">
        <v>8</v>
      </c>
      <c r="B3" s="199"/>
      <c r="C3" s="199"/>
      <c r="D3" s="199"/>
      <c r="E3" s="199"/>
      <c r="F3" s="3" t="s">
        <v>113</v>
      </c>
      <c r="G3" s="1"/>
    </row>
    <row r="4" s="2" customFormat="1" ht="15">
      <c r="A4" s="35"/>
    </row>
    <row r="5" spans="1:8" s="2" customFormat="1" ht="18.75">
      <c r="A5" s="200" t="s">
        <v>162</v>
      </c>
      <c r="B5" s="200"/>
      <c r="C5" s="200"/>
      <c r="D5" s="200"/>
      <c r="E5" s="200"/>
      <c r="F5" s="200"/>
      <c r="G5" s="200"/>
      <c r="H5" s="200"/>
    </row>
    <row r="6" spans="1:8" s="2" customFormat="1" ht="15">
      <c r="A6" s="198" t="s">
        <v>114</v>
      </c>
      <c r="B6" s="198"/>
      <c r="C6" s="198"/>
      <c r="D6" s="198"/>
      <c r="E6" s="198"/>
      <c r="F6" s="198"/>
      <c r="G6" s="198"/>
      <c r="H6" s="198"/>
    </row>
    <row r="7" spans="1:8" s="2" customFormat="1" ht="15">
      <c r="A7" s="35"/>
      <c r="B7" s="203" t="s">
        <v>1</v>
      </c>
      <c r="C7" s="203"/>
      <c r="D7" s="203"/>
      <c r="E7" s="203"/>
      <c r="F7" s="203"/>
      <c r="G7" s="203"/>
      <c r="H7" s="203"/>
    </row>
    <row r="8" s="2" customFormat="1" ht="0.75" customHeight="1">
      <c r="A8" s="35"/>
    </row>
    <row r="9" spans="1:6" s="2" customFormat="1" ht="15">
      <c r="A9" s="35"/>
      <c r="B9" s="4" t="s">
        <v>2</v>
      </c>
      <c r="C9" s="4"/>
      <c r="D9" s="5" t="s">
        <v>163</v>
      </c>
      <c r="E9" s="4"/>
      <c r="F9" s="4"/>
    </row>
    <row r="10" s="2" customFormat="1" ht="15">
      <c r="A10" s="35"/>
    </row>
    <row r="11" spans="1:9" s="2" customFormat="1" ht="60.75" customHeight="1">
      <c r="A11" s="143" t="s">
        <v>115</v>
      </c>
      <c r="B11" s="212" t="s">
        <v>116</v>
      </c>
      <c r="C11" s="213"/>
      <c r="D11" s="213"/>
      <c r="E11" s="213"/>
      <c r="F11" s="213"/>
      <c r="G11" s="213"/>
      <c r="H11" s="7">
        <v>3792.9</v>
      </c>
      <c r="I11" s="7"/>
    </row>
    <row r="12" spans="1:12" s="2" customFormat="1" ht="37.5" customHeight="1">
      <c r="A12" s="13" t="s">
        <v>3</v>
      </c>
      <c r="B12" s="11" t="s">
        <v>29</v>
      </c>
      <c r="C12" s="11" t="s">
        <v>5</v>
      </c>
      <c r="D12" s="11" t="s">
        <v>6</v>
      </c>
      <c r="E12" s="12" t="s">
        <v>13</v>
      </c>
      <c r="F12" s="12" t="s">
        <v>28</v>
      </c>
      <c r="G12" s="11" t="s">
        <v>14</v>
      </c>
      <c r="H12" s="11" t="s">
        <v>7</v>
      </c>
      <c r="K12" s="2" t="s">
        <v>61</v>
      </c>
      <c r="L12" s="6"/>
    </row>
    <row r="13" spans="1:8" s="2" customFormat="1" ht="28.5" customHeight="1">
      <c r="A13" s="13" t="s">
        <v>18</v>
      </c>
      <c r="B13" s="118" t="s">
        <v>117</v>
      </c>
      <c r="C13" s="11" t="s">
        <v>12</v>
      </c>
      <c r="D13" s="15">
        <v>1</v>
      </c>
      <c r="E13" s="19">
        <v>8462.99</v>
      </c>
      <c r="F13" s="19">
        <v>338</v>
      </c>
      <c r="G13" s="19">
        <f aca="true" t="shared" si="0" ref="G13:G28">E13+F13</f>
        <v>8800.99</v>
      </c>
      <c r="H13" s="15"/>
    </row>
    <row r="14" spans="1:8" s="4" customFormat="1" ht="15">
      <c r="A14" s="37"/>
      <c r="B14" s="168" t="s">
        <v>141</v>
      </c>
      <c r="C14" s="126"/>
      <c r="D14" s="27"/>
      <c r="E14" s="28">
        <v>0</v>
      </c>
      <c r="F14" s="28"/>
      <c r="G14" s="28">
        <f>E14</f>
        <v>0</v>
      </c>
      <c r="H14" s="27"/>
    </row>
    <row r="15" spans="1:8" s="2" customFormat="1" ht="30" customHeight="1">
      <c r="A15" s="13" t="s">
        <v>19</v>
      </c>
      <c r="B15" s="118" t="s">
        <v>118</v>
      </c>
      <c r="C15" s="11" t="s">
        <v>12</v>
      </c>
      <c r="D15" s="15">
        <v>1</v>
      </c>
      <c r="E15" s="19">
        <v>2538.9</v>
      </c>
      <c r="F15" s="19">
        <v>120</v>
      </c>
      <c r="G15" s="19">
        <f t="shared" si="0"/>
        <v>2658.9</v>
      </c>
      <c r="H15" s="15"/>
    </row>
    <row r="16" spans="1:8" s="2" customFormat="1" ht="15" customHeight="1">
      <c r="A16" s="13" t="s">
        <v>20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21</v>
      </c>
      <c r="B17" s="55" t="s">
        <v>68</v>
      </c>
      <c r="C17" s="11"/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22</v>
      </c>
      <c r="B18" s="55" t="s">
        <v>69</v>
      </c>
      <c r="C18" s="11"/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23</v>
      </c>
      <c r="B19" s="55" t="s">
        <v>72</v>
      </c>
      <c r="C19" s="11"/>
      <c r="D19" s="15">
        <v>1</v>
      </c>
      <c r="E19" s="19">
        <v>-1169.88</v>
      </c>
      <c r="F19" s="19"/>
      <c r="G19" s="19">
        <f t="shared" si="0"/>
        <v>-1169.88</v>
      </c>
      <c r="H19" s="15"/>
    </row>
    <row r="20" spans="1:8" s="2" customFormat="1" ht="15" customHeight="1">
      <c r="A20" s="13" t="s">
        <v>24</v>
      </c>
      <c r="B20" s="55" t="s">
        <v>70</v>
      </c>
      <c r="C20" s="11"/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25</v>
      </c>
      <c r="B21" s="122" t="s">
        <v>34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98</v>
      </c>
      <c r="B22" s="122" t="s">
        <v>119</v>
      </c>
      <c r="C22" s="11" t="s">
        <v>12</v>
      </c>
      <c r="D22" s="15">
        <v>1</v>
      </c>
      <c r="E22" s="16">
        <v>1704.78</v>
      </c>
      <c r="F22" s="19"/>
      <c r="G22" s="19">
        <f t="shared" si="0"/>
        <v>1704.78</v>
      </c>
      <c r="H22" s="15"/>
    </row>
    <row r="23" spans="1:10" s="2" customFormat="1" ht="30">
      <c r="A23" s="13" t="s">
        <v>99</v>
      </c>
      <c r="B23" s="118" t="s">
        <v>120</v>
      </c>
      <c r="C23" s="11" t="s">
        <v>12</v>
      </c>
      <c r="D23" s="15">
        <v>1</v>
      </c>
      <c r="E23" s="16">
        <v>3699.37</v>
      </c>
      <c r="F23" s="19">
        <v>806.8</v>
      </c>
      <c r="G23" s="19">
        <f t="shared" si="0"/>
        <v>4506.17</v>
      </c>
      <c r="H23" s="15"/>
      <c r="J23" s="2">
        <f>E23</f>
        <v>3699.37</v>
      </c>
    </row>
    <row r="24" spans="1:8" s="2" customFormat="1" ht="15">
      <c r="A24" s="13" t="s">
        <v>143</v>
      </c>
      <c r="B24" s="122" t="s">
        <v>121</v>
      </c>
      <c r="C24" s="11" t="s">
        <v>12</v>
      </c>
      <c r="D24" s="15">
        <v>1</v>
      </c>
      <c r="E24" s="16">
        <f>1.68*H11</f>
        <v>6372.072</v>
      </c>
      <c r="F24" s="19"/>
      <c r="G24" s="19">
        <f t="shared" si="0"/>
        <v>6372.072</v>
      </c>
      <c r="H24" s="15"/>
    </row>
    <row r="25" spans="1:8" s="2" customFormat="1" ht="27.75" customHeight="1">
      <c r="A25" s="13" t="s">
        <v>144</v>
      </c>
      <c r="B25" s="144" t="s">
        <v>122</v>
      </c>
      <c r="C25" s="11" t="s">
        <v>12</v>
      </c>
      <c r="D25" s="15">
        <v>1</v>
      </c>
      <c r="E25" s="16">
        <f>2.274*H11</f>
        <v>8625.0546</v>
      </c>
      <c r="F25" s="19"/>
      <c r="G25" s="19">
        <f t="shared" si="0"/>
        <v>8625.0546</v>
      </c>
      <c r="H25" s="15"/>
    </row>
    <row r="26" spans="1:8" s="2" customFormat="1" ht="15">
      <c r="A26" s="13" t="s">
        <v>145</v>
      </c>
      <c r="B26" s="145" t="s">
        <v>103</v>
      </c>
      <c r="C26" s="11" t="s">
        <v>12</v>
      </c>
      <c r="D26" s="15">
        <v>1</v>
      </c>
      <c r="E26" s="16">
        <f>0.4*H11</f>
        <v>1517.16</v>
      </c>
      <c r="F26" s="19"/>
      <c r="G26" s="19">
        <f t="shared" si="0"/>
        <v>1517.16</v>
      </c>
      <c r="H26" s="15"/>
    </row>
    <row r="27" spans="1:8" s="2" customFormat="1" ht="15">
      <c r="A27" s="13" t="s">
        <v>146</v>
      </c>
      <c r="B27" s="145" t="s">
        <v>104</v>
      </c>
      <c r="C27" s="11" t="s">
        <v>12</v>
      </c>
      <c r="D27" s="15">
        <v>1</v>
      </c>
      <c r="E27" s="19">
        <f>0.1*H11</f>
        <v>379.29</v>
      </c>
      <c r="F27" s="19"/>
      <c r="G27" s="19">
        <f t="shared" si="0"/>
        <v>379.29</v>
      </c>
      <c r="H27" s="15"/>
    </row>
    <row r="28" spans="1:8" s="2" customFormat="1" ht="15">
      <c r="A28" s="158"/>
      <c r="B28" s="175" t="s">
        <v>181</v>
      </c>
      <c r="C28" s="160"/>
      <c r="D28" s="15"/>
      <c r="E28" s="19">
        <v>2000</v>
      </c>
      <c r="F28" s="19"/>
      <c r="G28" s="19">
        <f t="shared" si="0"/>
        <v>2000</v>
      </c>
      <c r="H28" s="15"/>
    </row>
    <row r="29" spans="1:10" s="2" customFormat="1" ht="17.25" customHeight="1">
      <c r="A29" s="214" t="s">
        <v>123</v>
      </c>
      <c r="B29" s="215"/>
      <c r="C29" s="146"/>
      <c r="D29" s="29"/>
      <c r="E29" s="30">
        <f>E13+E15+E16+E17+E18+E19+E20+E21+E22+E23+E24+E25+E26+E27+E28</f>
        <v>34740.736600000004</v>
      </c>
      <c r="F29" s="30">
        <f>F13+F15+F16+F17+F18+F19+F20+F21+F22+F23+F24+F25+F26+F27</f>
        <v>1264.8</v>
      </c>
      <c r="G29" s="30">
        <f>G13+G15+G16+G17+G18+G19+G20+G21+G22+G23+G24+G25+G26+G27+G28</f>
        <v>36005.5366</v>
      </c>
      <c r="H29" s="29"/>
      <c r="J29" s="9">
        <f>E13+E15+E16+E21+E22+E23+E24+E25+E26+E27</f>
        <v>33910.6166</v>
      </c>
    </row>
    <row r="30" spans="1:8" s="2" customFormat="1" ht="33.75" customHeight="1">
      <c r="A30" s="143" t="s">
        <v>124</v>
      </c>
      <c r="B30" s="212" t="s">
        <v>125</v>
      </c>
      <c r="C30" s="213"/>
      <c r="D30" s="213"/>
      <c r="E30" s="213"/>
      <c r="F30" s="213"/>
      <c r="G30" s="213"/>
      <c r="H30" s="116"/>
    </row>
    <row r="31" spans="1:8" s="2" customFormat="1" ht="36.75" customHeight="1">
      <c r="A31" s="13" t="s">
        <v>3</v>
      </c>
      <c r="B31" s="11" t="s">
        <v>29</v>
      </c>
      <c r="C31" s="11" t="s">
        <v>5</v>
      </c>
      <c r="D31" s="11" t="s">
        <v>6</v>
      </c>
      <c r="E31" s="12" t="s">
        <v>13</v>
      </c>
      <c r="F31" s="12" t="s">
        <v>28</v>
      </c>
      <c r="G31" s="11" t="s">
        <v>14</v>
      </c>
      <c r="H31" s="11" t="s">
        <v>7</v>
      </c>
    </row>
    <row r="32" spans="1:8" s="2" customFormat="1" ht="30" customHeight="1">
      <c r="A32" s="13" t="s">
        <v>26</v>
      </c>
      <c r="B32" s="118" t="s">
        <v>135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4">
        <f>F29+F38</f>
        <v>1264.8</v>
      </c>
    </row>
    <row r="35" spans="1:8" s="2" customFormat="1" ht="26.25" customHeight="1">
      <c r="A35" s="13" t="s">
        <v>27</v>
      </c>
      <c r="B35" s="118" t="s">
        <v>136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14" t="s">
        <v>127</v>
      </c>
      <c r="B38" s="215"/>
      <c r="C38" s="216"/>
      <c r="D38" s="29"/>
      <c r="E38" s="30">
        <f>E32+E35</f>
        <v>0</v>
      </c>
      <c r="F38" s="30">
        <f>SUM(F32:F35)</f>
        <v>0</v>
      </c>
      <c r="G38" s="30">
        <f>G32+G35</f>
        <v>0</v>
      </c>
      <c r="H38" s="29"/>
    </row>
    <row r="39" s="2" customFormat="1" ht="9.75" customHeight="1">
      <c r="A39" s="35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30</v>
      </c>
      <c r="F40" s="12" t="s">
        <v>28</v>
      </c>
      <c r="G40" s="11" t="s">
        <v>14</v>
      </c>
      <c r="H40" s="11" t="s">
        <v>7</v>
      </c>
    </row>
    <row r="41" spans="1:9" s="2" customFormat="1" ht="15">
      <c r="A41" s="147" t="s">
        <v>128</v>
      </c>
      <c r="B41" s="127" t="s">
        <v>129</v>
      </c>
      <c r="C41" s="22" t="s">
        <v>12</v>
      </c>
      <c r="D41" s="21">
        <v>1</v>
      </c>
      <c r="E41" s="23">
        <v>3626.99</v>
      </c>
      <c r="F41" s="23"/>
      <c r="G41" s="23">
        <f>E41+F41</f>
        <v>3626.99</v>
      </c>
      <c r="H41" s="29"/>
      <c r="I41" s="2" t="s">
        <v>61</v>
      </c>
    </row>
    <row r="42" spans="1:8" s="2" customFormat="1" ht="15">
      <c r="A42" s="147" t="s">
        <v>130</v>
      </c>
      <c r="B42" s="127" t="s">
        <v>15</v>
      </c>
      <c r="C42" s="22" t="s">
        <v>12</v>
      </c>
      <c r="D42" s="21">
        <v>1</v>
      </c>
      <c r="E42" s="23">
        <v>8333.38</v>
      </c>
      <c r="F42" s="23"/>
      <c r="G42" s="23">
        <f>E42+F42</f>
        <v>8333.38</v>
      </c>
      <c r="H42" s="29"/>
    </row>
    <row r="43" spans="1:8" s="2" customFormat="1" ht="15">
      <c r="A43" s="147" t="s">
        <v>107</v>
      </c>
      <c r="B43" s="127" t="s">
        <v>131</v>
      </c>
      <c r="C43" s="22" t="s">
        <v>12</v>
      </c>
      <c r="D43" s="21">
        <v>1</v>
      </c>
      <c r="E43" s="23">
        <v>14529.2</v>
      </c>
      <c r="F43" s="23"/>
      <c r="G43" s="23">
        <f>E43+F43</f>
        <v>14529.2</v>
      </c>
      <c r="H43" s="29"/>
    </row>
    <row r="44" spans="1:7" s="34" customFormat="1" ht="28.5">
      <c r="A44" s="38" t="s">
        <v>132</v>
      </c>
      <c r="B44" s="135" t="s">
        <v>35</v>
      </c>
      <c r="C44" s="33" t="s">
        <v>12</v>
      </c>
      <c r="D44" s="148">
        <v>1</v>
      </c>
      <c r="E44" s="149">
        <v>5490.72</v>
      </c>
      <c r="F44" s="150"/>
      <c r="G44" s="23">
        <f>E44+F44</f>
        <v>5490.72</v>
      </c>
    </row>
    <row r="45" spans="1:8" s="2" customFormat="1" ht="15">
      <c r="A45" s="151"/>
      <c r="B45" s="152" t="s">
        <v>133</v>
      </c>
      <c r="C45" s="153"/>
      <c r="D45" s="154"/>
      <c r="E45" s="155">
        <f>E29+E38+E41+E42+E43+E44</f>
        <v>66721.0266</v>
      </c>
      <c r="F45" s="155">
        <f>F29+F38+F41+F42+F43+F44</f>
        <v>1264.8</v>
      </c>
      <c r="G45" s="155">
        <f>G29+G38+G41+G42+G43+G44</f>
        <v>67985.8266</v>
      </c>
      <c r="H45" s="29"/>
    </row>
    <row r="46" spans="1:7" s="32" customFormat="1" ht="15" customHeight="1">
      <c r="A46" s="204" t="s">
        <v>108</v>
      </c>
      <c r="B46" s="205"/>
      <c r="C46" s="205"/>
      <c r="D46" s="205"/>
      <c r="E46" s="205"/>
      <c r="F46" s="205"/>
      <c r="G46" s="206"/>
    </row>
    <row r="47" spans="1:7" s="2" customFormat="1" ht="33.75" customHeight="1">
      <c r="A47" s="13" t="s">
        <v>3</v>
      </c>
      <c r="B47" s="11" t="s">
        <v>4</v>
      </c>
      <c r="C47" s="11" t="s">
        <v>5</v>
      </c>
      <c r="D47" s="11" t="s">
        <v>6</v>
      </c>
      <c r="E47" s="12" t="s">
        <v>30</v>
      </c>
      <c r="F47" s="207" t="s">
        <v>31</v>
      </c>
      <c r="G47" s="208"/>
    </row>
    <row r="48" spans="1:7" s="2" customFormat="1" ht="25.5" customHeight="1">
      <c r="A48" s="13"/>
      <c r="B48" s="26" t="s">
        <v>36</v>
      </c>
      <c r="C48" s="22" t="s">
        <v>12</v>
      </c>
      <c r="D48" s="21">
        <v>1</v>
      </c>
      <c r="E48" s="23">
        <v>27238.25</v>
      </c>
      <c r="F48" s="23"/>
      <c r="G48" s="23"/>
    </row>
    <row r="49" spans="1:7" s="2" customFormat="1" ht="15">
      <c r="A49" s="13"/>
      <c r="B49" s="26" t="s">
        <v>37</v>
      </c>
      <c r="C49" s="22" t="s">
        <v>12</v>
      </c>
      <c r="D49" s="21">
        <v>1</v>
      </c>
      <c r="E49" s="23"/>
      <c r="F49" s="23"/>
      <c r="G49" s="23"/>
    </row>
    <row r="50" spans="1:7" s="2" customFormat="1" ht="15">
      <c r="A50" s="13"/>
      <c r="B50" s="26" t="s">
        <v>38</v>
      </c>
      <c r="C50" s="22" t="s">
        <v>12</v>
      </c>
      <c r="D50" s="21">
        <v>1</v>
      </c>
      <c r="E50" s="23">
        <v>15584.96</v>
      </c>
      <c r="F50" s="23"/>
      <c r="G50" s="23"/>
    </row>
    <row r="51" spans="1:7" s="2" customFormat="1" ht="15">
      <c r="A51" s="13"/>
      <c r="B51" s="26" t="s">
        <v>39</v>
      </c>
      <c r="C51" s="22" t="s">
        <v>12</v>
      </c>
      <c r="D51" s="21">
        <v>1</v>
      </c>
      <c r="E51" s="23">
        <v>9206.55</v>
      </c>
      <c r="F51" s="23"/>
      <c r="G51" s="23"/>
    </row>
    <row r="52" spans="1:7" s="2" customFormat="1" ht="15">
      <c r="A52" s="13"/>
      <c r="B52" s="26" t="s">
        <v>40</v>
      </c>
      <c r="C52" s="22" t="s">
        <v>12</v>
      </c>
      <c r="D52" s="15">
        <v>1</v>
      </c>
      <c r="E52" s="23">
        <v>9777.68</v>
      </c>
      <c r="F52" s="20"/>
      <c r="G52" s="19"/>
    </row>
    <row r="53" spans="1:7" s="2" customFormat="1" ht="15">
      <c r="A53" s="13"/>
      <c r="B53" s="14"/>
      <c r="C53" s="22"/>
      <c r="D53" s="21"/>
      <c r="E53" s="23"/>
      <c r="F53" s="23"/>
      <c r="G53" s="23"/>
    </row>
    <row r="54" spans="1:7" s="2" customFormat="1" ht="15">
      <c r="A54" s="209" t="s">
        <v>41</v>
      </c>
      <c r="B54" s="210"/>
      <c r="C54" s="211"/>
      <c r="D54" s="15"/>
      <c r="E54" s="23">
        <f>SUM(E48:E53)</f>
        <v>61807.439999999995</v>
      </c>
      <c r="F54" s="17"/>
      <c r="G54" s="15"/>
    </row>
    <row r="55" spans="1:7" s="2" customFormat="1" ht="15">
      <c r="A55" s="36"/>
      <c r="B55" s="8"/>
      <c r="C55" s="8"/>
      <c r="D55" s="24"/>
      <c r="E55" s="31"/>
      <c r="F55" s="25"/>
      <c r="G55" s="24"/>
    </row>
    <row r="56" spans="1:7" s="2" customFormat="1" ht="15">
      <c r="A56" s="36"/>
      <c r="B56" s="8"/>
      <c r="C56" s="8"/>
      <c r="D56" s="24"/>
      <c r="E56" s="31"/>
      <c r="F56" s="25"/>
      <c r="G56" s="24"/>
    </row>
    <row r="57" spans="1:7" s="2" customFormat="1" ht="15">
      <c r="A57" s="36"/>
      <c r="B57" s="8"/>
      <c r="C57" s="8"/>
      <c r="D57" s="24"/>
      <c r="E57" s="31"/>
      <c r="F57" s="25"/>
      <c r="G57" s="24"/>
    </row>
    <row r="58" spans="1:7" s="2" customFormat="1" ht="15">
      <c r="A58" s="36"/>
      <c r="B58" s="8"/>
      <c r="C58" s="8"/>
      <c r="D58" s="24"/>
      <c r="E58" s="31"/>
      <c r="F58" s="25"/>
      <c r="G58" s="24"/>
    </row>
    <row r="59" s="2" customFormat="1" ht="15">
      <c r="A59" s="35"/>
    </row>
    <row r="60" spans="1:7" s="2" customFormat="1" ht="15">
      <c r="A60" s="201" t="s">
        <v>9</v>
      </c>
      <c r="B60" s="201"/>
      <c r="C60" s="201"/>
      <c r="D60" s="201"/>
      <c r="E60" s="202">
        <f>G45+E54</f>
        <v>129793.2666</v>
      </c>
      <c r="F60" s="202"/>
      <c r="G60" s="202"/>
    </row>
    <row r="61" spans="1:10" s="2" customFormat="1" ht="15">
      <c r="A61" s="35"/>
      <c r="G61" s="9"/>
      <c r="J61" s="2" t="s">
        <v>61</v>
      </c>
    </row>
    <row r="62" s="2" customFormat="1" ht="15">
      <c r="A62" s="35"/>
    </row>
    <row r="63" s="2" customFormat="1" ht="15">
      <c r="A63" s="35"/>
    </row>
    <row r="64" s="2" customFormat="1" ht="15">
      <c r="A64" s="35"/>
    </row>
    <row r="65" spans="1:5" s="2" customFormat="1" ht="15">
      <c r="A65" s="190" t="s">
        <v>32</v>
      </c>
      <c r="B65" s="190"/>
      <c r="E65" s="2" t="s">
        <v>10</v>
      </c>
    </row>
    <row r="66" spans="1:5" s="2" customFormat="1" ht="15">
      <c r="A66" s="190" t="s">
        <v>1</v>
      </c>
      <c r="B66" s="190"/>
      <c r="E66" s="2" t="s">
        <v>176</v>
      </c>
    </row>
    <row r="67" spans="1:5" s="2" customFormat="1" ht="30" customHeight="1">
      <c r="A67" s="198" t="s">
        <v>137</v>
      </c>
      <c r="B67" s="198"/>
      <c r="C67" s="18"/>
      <c r="E67" s="2" t="s">
        <v>179</v>
      </c>
    </row>
    <row r="68" s="2" customFormat="1" ht="15">
      <c r="A68" s="35"/>
    </row>
    <row r="69" s="2" customFormat="1" ht="15">
      <c r="A69" s="35"/>
    </row>
    <row r="70" s="2" customFormat="1" ht="15">
      <c r="A70" s="35"/>
    </row>
    <row r="71" s="2" customFormat="1" ht="15">
      <c r="A71" s="35"/>
    </row>
  </sheetData>
  <sheetProtection/>
  <mergeCells count="17">
    <mergeCell ref="A65:B65"/>
    <mergeCell ref="A66:B66"/>
    <mergeCell ref="A67:B67"/>
    <mergeCell ref="B30:G30"/>
    <mergeCell ref="A38:C38"/>
    <mergeCell ref="A46:G46"/>
    <mergeCell ref="E60:G60"/>
    <mergeCell ref="F47:G47"/>
    <mergeCell ref="A54:C54"/>
    <mergeCell ref="A60:D60"/>
    <mergeCell ref="B7:H7"/>
    <mergeCell ref="B11:G11"/>
    <mergeCell ref="A29:B29"/>
    <mergeCell ref="A1:B1"/>
    <mergeCell ref="A3:E3"/>
    <mergeCell ref="A5:H5"/>
    <mergeCell ref="A6:H6"/>
  </mergeCells>
  <printOptions/>
  <pageMargins left="0.32" right="0.17" top="0.34" bottom="0.38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2018-05-17T05:12:20Z</cp:lastPrinted>
  <dcterms:created xsi:type="dcterms:W3CDTF">2011-02-12T11:02:58Z</dcterms:created>
  <dcterms:modified xsi:type="dcterms:W3CDTF">2019-02-20T06:17:53Z</dcterms:modified>
  <cp:category/>
  <cp:version/>
  <cp:contentType/>
  <cp:contentStatus/>
</cp:coreProperties>
</file>