
<file path=[Content_Types].xml><?xml version="1.0" encoding="utf-8"?>
<Types xmlns="http://schemas.openxmlformats.org/package/2006/content-types">
  <Override PartName="/xl/revisions/revisionLog1121.xml" ContentType="application/vnd.openxmlformats-officedocument.spreadsheetml.revisionLog+xml"/>
  <Override PartName="/xl/revisions/revisionLog12111.xml" ContentType="application/vnd.openxmlformats-officedocument.spreadsheetml.revisionLog+xml"/>
  <Override PartName="/xl/revisions/revisionLog118.xml" ContentType="application/vnd.openxmlformats-officedocument.spreadsheetml.revisionLog+xml"/>
  <Override PartName="/xl/revisions/revisionLog11412.xml" ContentType="application/vnd.openxmlformats-officedocument.spreadsheetml.revisionLog+xml"/>
  <Override PartName="/xl/revisions/revisionLog1161211.xml" ContentType="application/vnd.openxmlformats-officedocument.spreadsheetml.revisionLog+xml"/>
  <Override PartName="/xl/styles.xml" ContentType="application/vnd.openxmlformats-officedocument.spreadsheetml.styles+xml"/>
  <Override PartName="/xl/revisions/revisionLog141111.xml" ContentType="application/vnd.openxmlformats-officedocument.spreadsheetml.revisionLog+xml"/>
  <Override PartName="/xl/revisions/revisionLog125.xml" ContentType="application/vnd.openxmlformats-officedocument.spreadsheetml.revisionLog+xml"/>
  <Override PartName="/xl/revisions/revisionLog152111.xml" ContentType="application/vnd.openxmlformats-officedocument.spreadsheetml.revisionLog+xml"/>
  <Override PartName="/xl/revisions/revisionLog111311.xml" ContentType="application/vnd.openxmlformats-officedocument.spreadsheetml.revisionLog+xml"/>
  <Override PartName="/xl/revisions/revisionLog11211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161.xml" ContentType="application/vnd.openxmlformats-officedocument.spreadsheetml.revisionLog+xml"/>
  <Override PartName="/xl/revisions/revisionLog11721.xml" ContentType="application/vnd.openxmlformats-officedocument.spreadsheetml.revisionLog+xml"/>
  <Override PartName="/xl/revisions/revisionLog15121.xml" ContentType="application/vnd.openxmlformats-officedocument.spreadsheetml.revisionLog+xml"/>
  <Override PartName="/xl/revisions/revisionLog1251.xml" ContentType="application/vnd.openxmlformats-officedocument.spreadsheetml.revisionLog+xml"/>
  <Override PartName="/xl/revisions/revisionLog1911.xml" ContentType="application/vnd.openxmlformats-officedocument.spreadsheetml.revisionLog+xml"/>
  <Default Extension="xml" ContentType="application/xml"/>
  <Override PartName="/xl/revisions/revisionLog16.xml" ContentType="application/vnd.openxmlformats-officedocument.spreadsheetml.revisionLog+xml"/>
  <Override PartName="/xl/revisions/revisionLog121.xml" ContentType="application/vnd.openxmlformats-officedocument.spreadsheetml.revisionLog+xml"/>
  <Override PartName="/xl/revisions/revisionLog132.xml" ContentType="application/vnd.openxmlformats-officedocument.spreadsheetml.revisionLog+xml"/>
  <Override PartName="/xl/revisions/revisionLog151211.xml" ContentType="application/vnd.openxmlformats-officedocument.spreadsheetml.revisionLog+xml"/>
  <Override PartName="/xl/revisions/revisionLog16111.xml" ContentType="application/vnd.openxmlformats-officedocument.spreadsheetml.revisionLog+xml"/>
  <Override PartName="/xl/worksheets/sheet3.xml" ContentType="application/vnd.openxmlformats-officedocument.spreadsheetml.worksheet+xml"/>
  <Override PartName="/xl/revisions/revisionLog110.xml" ContentType="application/vnd.openxmlformats-officedocument.spreadsheetml.revisionLog+xml"/>
  <Override PartName="/xl/revisions/revisionLog1211.xml" ContentType="application/vnd.openxmlformats-officedocument.spreadsheetml.revisionLog+xml"/>
  <Override PartName="/xl/revisions/revisionLog123111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1811.xml" ContentType="application/vnd.openxmlformats-officedocument.spreadsheetml.revisionLog+xml"/>
  <Override PartName="/xl/revisions/revisionLog11312.xml" ContentType="application/vnd.openxmlformats-officedocument.spreadsheetml.revisionLog+xml"/>
  <Override PartName="/xl/revisions/revisionLog15211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116111.xml" ContentType="application/vnd.openxmlformats-officedocument.spreadsheetml.revisionLog+xml"/>
  <Override PartName="/xl/revisions/revisionLog1191.xml" ContentType="application/vnd.openxmlformats-officedocument.spreadsheetml.revisionLog+xml"/>
  <Override PartName="/xl/revisions/revisionLog1411111.xml" ContentType="application/vnd.openxmlformats-officedocument.spreadsheetml.revisionLog+xml"/>
  <Override PartName="/xl/revisions/revisionLog111211.xml" ContentType="application/vnd.openxmlformats-officedocument.spreadsheetml.revisionLog+xml"/>
  <Override PartName="/xl/revisions/revisionLog1312.xml" ContentType="application/vnd.openxmlformats-officedocument.spreadsheetml.revisionLog+xml"/>
  <Override PartName="/xl/revisions/revisionLog12112.xml" ContentType="application/vnd.openxmlformats-officedocument.spreadsheetml.revisionLog+xml"/>
  <Override PartName="/xl/revisions/revisionLog1811.xml" ContentType="application/vnd.openxmlformats-officedocument.spreadsheetml.revisionLog+xml"/>
  <Override PartName="/xl/revisions/revisionLog1151.xml" ContentType="application/vnd.openxmlformats-officedocument.spreadsheetml.revisionLog+xml"/>
  <Override PartName="/xl/revisions/revisionLog1162.xml" ContentType="application/vnd.openxmlformats-officedocument.spreadsheetml.revisionLog+xml"/>
  <Override PartName="/xl/revisions/revisionLog11111.xml" ContentType="application/vnd.openxmlformats-officedocument.spreadsheetml.revisionLog+xml"/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revisions/revisionLog1111.xml" ContentType="application/vnd.openxmlformats-officedocument.spreadsheetml.revisionLog+xml"/>
  <Override PartName="/xl/revisions/revisionLog119.xml" ContentType="application/vnd.openxmlformats-officedocument.spreadsheetml.revisionLog+xml"/>
  <Override PartName="/xl/revisions/revisionLog19211.xml" ContentType="application/vnd.openxmlformats-officedocument.spreadsheetml.revisionLog+xml"/>
  <Override PartName="/xl/revisions/revisionLog12611.xml" ContentType="application/vnd.openxmlformats-officedocument.spreadsheetml.revisionLog+xml"/>
  <Override PartName="/xl/revisions/revisionLog151111.xml" ContentType="application/vnd.openxmlformats-officedocument.spreadsheetml.revisionLog+xml"/>
  <Override PartName="/xl/revisions/revisionLog191.xml" ContentType="application/vnd.openxmlformats-officedocument.spreadsheetml.revisionLog+xml"/>
  <Override PartName="/xl/revisions/revisionLog126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151.xml" ContentType="application/vnd.openxmlformats-officedocument.spreadsheetml.revisionLog+xml"/>
  <Override PartName="/xl/revisions/revisionLog11711.xml" ContentType="application/vnd.openxmlformats-officedocument.spreadsheetml.revisionLog+xml"/>
  <Override PartName="/xl/revisions/revisionLog15111.xml" ContentType="application/vnd.openxmlformats-officedocument.spreadsheetml.revisionLog+xml"/>
  <Override PartName="/xl/revisions/revisionLog121121.xml" ContentType="application/vnd.openxmlformats-officedocument.spreadsheetml.revisionLog+xml"/>
  <Override PartName="/xl/revisions/revisionLog11212.xml" ContentType="application/vnd.openxmlformats-officedocument.spreadsheetml.revisionLo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revisions/revisionLog17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1711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revisionLog122.xml" ContentType="application/vnd.openxmlformats-officedocument.spreadsheetml.revisionLog+xml"/>
  <Override PartName="/xl/revisions/revisionLog111111.xml" ContentType="application/vnd.openxmlformats-officedocument.spreadsheetml.revisionLog+xml"/>
  <Override PartName="/xl/revisions/revisionLog1221.xml" ContentType="application/vnd.openxmlformats-officedocument.spreadsheetml.revisionLog+xml"/>
  <Override PartName="/xl/revisions/revisionLog1241.xml" ContentType="application/vnd.openxmlformats-officedocument.spreadsheetml.revisionLog+xml"/>
  <Override PartName="/xl/revisions/revisionLog1212.xml" ContentType="application/vnd.openxmlformats-officedocument.spreadsheetml.revisionLog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20.xml" ContentType="application/vnd.openxmlformats-officedocument.spreadsheetml.revisionLog+xml"/>
  <Override PartName="/xl/revisions/revisionLog17111.xml" ContentType="application/vnd.openxmlformats-officedocument.spreadsheetml.revisionLog+xml"/>
  <Override PartName="/xl/revisions/revisionLog11011.xml" ContentType="application/vnd.openxmlformats-officedocument.spreadsheetml.revisionLog+xml"/>
  <Override PartName="/xl/revisions/revisionLog1201.xml" ContentType="application/vnd.openxmlformats-officedocument.spreadsheetml.revisionLog+xml"/>
  <Override PartName="/xl/calcChain.xml" ContentType="application/vnd.openxmlformats-officedocument.spreadsheetml.calcChain+xml"/>
  <Override PartName="/xl/revisions/revisionLog13.xml" ContentType="application/vnd.openxmlformats-officedocument.spreadsheetml.revisionLog+xml"/>
  <Override PartName="/xl/revisions/revisionLog11311.xml" ContentType="application/vnd.openxmlformats-officedocument.spreadsheetml.revisionLog+xml"/>
  <Override PartName="/xl/revisions/revisionLog1521.xml" ContentType="application/vnd.openxmlformats-officedocument.spreadsheetml.revisionLog+xml"/>
  <Override PartName="/xl/revisions/revisionLog11821.xml" ContentType="application/vnd.openxmlformats-officedocument.spreadsheetml.revisionLog+xml"/>
  <Override PartName="/xl/revisions/revisionLog1512.xml" ContentType="application/vnd.openxmlformats-officedocument.spreadsheetml.revisionLog+xml"/>
  <Override PartName="/xl/revisions/revisionLog19111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181.xml" ContentType="application/vnd.openxmlformats-officedocument.spreadsheetml.revisionLog+xml"/>
  <Override PartName="/xl/revisions/revisionLog1172.xml" ContentType="application/vnd.openxmlformats-officedocument.spreadsheetml.revisionLog+xml"/>
  <Override PartName="/xl/revisions/revisionLog181111.xml" ContentType="application/vnd.openxmlformats-officedocument.spreadsheetml.revisionLog+xml"/>
  <Override PartName="/xl/revisions/revisionLog1821.xml" ContentType="application/vnd.openxmlformats-officedocument.spreadsheetml.revisionLog+xml"/>
  <Override PartName="/xl/revisions/revisionLog116121.xml" ContentType="application/vnd.openxmlformats-officedocument.spreadsheetml.revisionLog+xml"/>
  <Override PartName="/xl/revisions/revisionLog11613.xml" ContentType="application/vnd.openxmlformats-officedocument.spreadsheetml.revisionLog+xml"/>
  <Override PartName="/xl/revisions/revisionLog11112.xml" ContentType="application/vnd.openxmlformats-officedocument.spreadsheetml.revisionLog+xml"/>
  <Override PartName="/docProps/core.xml" ContentType="application/vnd.openxmlformats-package.core-properties+xml"/>
  <Override PartName="/xl/revisions/revisionLog1311.xml" ContentType="application/vnd.openxmlformats-officedocument.spreadsheetml.revisionLog+xml"/>
  <Override PartName="/xl/revisions/revisionLog1611111.xml" ContentType="application/vnd.openxmlformats-officedocument.spreadsheetml.revisionLog+xml"/>
  <Override PartName="/xl/revisions/revisionLog11611.xml" ContentType="application/vnd.openxmlformats-officedocument.spreadsheetml.revisionLog+xml"/>
  <Override PartName="/xl/revisions/revisionLog1161.xml" ContentType="application/vnd.openxmlformats-officedocument.spreadsheetml.revisionLog+xml"/>
  <Override PartName="/xl/revisions/revisionLog117111.xml" ContentType="application/vnd.openxmlformats-officedocument.spreadsheetml.revisionLog+xml"/>
  <Override PartName="/xl/revisions/revisionLog11121.xml" ContentType="application/vnd.openxmlformats-officedocument.spreadsheetml.revisionLog+xml"/>
  <Override PartName="/xl/revisions/revisionLog1112.xml" ContentType="application/vnd.openxmlformats-officedocument.spreadsheetml.revisionLog+xml"/>
  <Override PartName="/xl/revisions/revisionLog1141.xml" ContentType="application/vnd.openxmlformats-officedocument.spreadsheetml.revisionLog+xml"/>
  <Override PartName="/xl/revisions/revisionLog13121.xml" ContentType="application/vnd.openxmlformats-officedocument.spreadsheetml.revisionLog+xml"/>
  <Override PartName="/xl/revisions/revisionLog161111.xml" ContentType="application/vnd.openxmlformats-officedocument.spreadsheetml.revisionLog+xml"/>
  <Override PartName="/xl/revisions/revisionLog11421.xml" ContentType="application/vnd.openxmlformats-officedocument.spreadsheetml.revisionLog+xml"/>
  <Override PartName="/xl/revisions/revisionLog18211.xml" ContentType="application/vnd.openxmlformats-officedocument.spreadsheetml.revisionLog+xml"/>
  <Override PartName="/xl/revisions/revisionLog114211.xml" ContentType="application/vnd.openxmlformats-officedocument.spreadsheetml.revisionLog+xml"/>
  <Override PartName="/xl/revisions/revisionLog1611.xml" ContentType="application/vnd.openxmlformats-officedocument.spreadsheetml.revisionLog+xml"/>
  <Override PartName="/xl/revisions/revisionLog127.xml" ContentType="application/vnd.openxmlformats-officedocument.spreadsheetml.revisionLog+xml"/>
  <Override PartName="/xl/theme/theme1.xml" ContentType="application/vnd.openxmlformats-officedocument.theme+xml"/>
  <Override PartName="/xl/revisions/userNames.xml" ContentType="application/vnd.openxmlformats-officedocument.spreadsheetml.userNames+xml"/>
  <Override PartName="/xl/revisions/revisionLog14111.xml" ContentType="application/vnd.openxmlformats-officedocument.spreadsheetml.revisionLog+xml"/>
  <Override PartName="/xl/revisions/revisionLog116.xml" ContentType="application/vnd.openxmlformats-officedocument.spreadsheetml.revisionLog+xml"/>
  <Override PartName="/xl/revisions/revisionLog192.xml" ContentType="application/vnd.openxmlformats-officedocument.spreadsheetml.revisionLog+xml"/>
  <Override PartName="/xl/revisions/revisionLog12411.xml" ContentType="application/vnd.openxmlformats-officedocument.spreadsheetml.revisionLog+xml"/>
  <Override PartName="/xl/revisions/revisionLog1101.xml" ContentType="application/vnd.openxmlformats-officedocument.spreadsheetml.revisionLog+xml"/>
  <Default Extension="rels" ContentType="application/vnd.openxmlformats-package.relationships+xml"/>
  <Override PartName="/xl/revisions/revisionLog110111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181.xml" ContentType="application/vnd.openxmlformats-officedocument.spreadsheetml.revisionLog+xml"/>
  <Override PartName="/xl/revisions/revisionLog123.xml" ContentType="application/vnd.openxmlformats-officedocument.spreadsheetml.revisionLog+xml"/>
  <Override PartName="/xl/revisions/revisionLog121111.xml" ContentType="application/vnd.openxmlformats-officedocument.spreadsheetml.revisionLog+xml"/>
  <Override PartName="/xl/revisions/revisionLog111112.xml" ContentType="application/vnd.openxmlformats-officedocument.spreadsheetml.revisionLog+xml"/>
  <Override PartName="/xl/revisions/revisionLog152.xml" ContentType="application/vnd.openxmlformats-officedocument.spreadsheetml.revisionLog+xml"/>
  <Override PartName="/xl/revisions/revisionLog141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1231.xml" ContentType="application/vnd.openxmlformats-officedocument.spreadsheetml.revisionLog+xml"/>
  <Override PartName="/xl/revisions/revisionLog118211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8111.xml" ContentType="application/vnd.openxmlformats-officedocument.spreadsheetml.revisionLog+xml"/>
  <Override PartName="/xl/revisions/revisionLog11511.xml" ContentType="application/vnd.openxmlformats-officedocument.spreadsheetml.revisionLog+xml"/>
  <Override PartName="/xl/worksheets/sheet1.xml" ContentType="application/vnd.openxmlformats-officedocument.spreadsheetml.worksheet+xml"/>
  <Override PartName="/xl/revisions/revisionLog131211.xml" ContentType="application/vnd.openxmlformats-officedocument.spreadsheetml.revisionLog+xml"/>
  <Override PartName="/xl/revisions/revisionLog1511.xml" ContentType="application/vnd.openxmlformats-officedocument.spreadsheetml.revisionLog+xml"/>
  <Override PartName="/xl/revisions/revisionLog1182.xml" ContentType="application/vnd.openxmlformats-officedocument.spreadsheetml.revisionLog+xml"/>
  <Override PartName="/xl/revisions/revisionLog11612.xml" ContentType="application/vnd.openxmlformats-officedocument.spreadsheetml.revisionLog+xml"/>
  <Override PartName="/xl/revisions/revisionLog12311.xml" ContentType="application/vnd.openxmlformats-officedocument.spreadsheetml.revisionLog+xml"/>
  <Override PartName="/xl/revisions/revisionLog11131.xml" ContentType="application/vnd.openxmlformats-officedocument.spreadsheetml.revisionLog+xml"/>
  <Override PartName="/xl/revisions/revisionLog116131.xml" ContentType="application/vnd.openxmlformats-officedocument.spreadsheetml.revisionLog+xml"/>
  <Override PartName="/xl/revisions/revisionLog171111.xml" ContentType="application/vnd.openxmlformats-officedocument.spreadsheetml.revisionLog+xml"/>
  <Override PartName="/xl/revisions/revisionLog1113.xml" ContentType="application/vnd.openxmlformats-officedocument.spreadsheetml.revisionLog+xml"/>
  <Override PartName="/xl/revisions/revisionLog1142.xml" ContentType="application/vnd.openxmlformats-officedocument.spreadsheetml.revisionLog+xml"/>
  <Override PartName="/xl/revisions/revisionLog182111.xml" ContentType="application/vnd.openxmlformats-officedocument.spreadsheetml.revisionLog+xml"/>
  <Override PartName="/xl/revisions/revisionLog1171.xml" ContentType="application/vnd.openxmlformats-officedocument.spreadsheetml.revisionLog+xml"/>
  <Override PartName="/xl/revisions/revisionLog11411.xml" ContentType="application/vnd.openxmlformats-officedocument.spreadsheetml.revisionLog+xml"/>
  <Override PartName="/xl/revisions/revisionLog1112111.xml" ContentType="application/vnd.openxmlformats-officedocument.spreadsheetml.revisionLog+xml"/>
  <Override PartName="/xl/revisions/revisionLog13111.xml" ContentType="application/vnd.openxmlformats-officedocument.spreadsheetml.revisionLog+xml"/>
  <Override PartName="/xl/revisions/revisionLog1131.xml" ContentType="application/vnd.openxmlformats-officedocument.spreadsheetml.revisionLog+xml"/>
  <Override PartName="/xl/revisions/revisionLog128.xml" ContentType="application/vnd.openxmlformats-officedocument.spreadsheetml.revisionLog+xml"/>
  <Override PartName="/xl/revisions/revisionLog117.xml" ContentType="application/vnd.openxmlformats-officedocument.spreadsheetml.revisionLog+xml"/>
  <Override PartName="/xl/revisions/revisionLog182.xml" ContentType="application/vnd.openxmlformats-officedocument.spreadsheetml.revisionLog+xml"/>
  <Override PartName="/xl/revisions/revisionLog1811111.xml" ContentType="application/vnd.openxmlformats-officedocument.spreadsheetml.revisionLog+xml"/>
  <Override PartName="/xl/revisions/revisionLog131111.xml" ContentType="application/vnd.openxmlformats-officedocument.spreadsheetml.revisionLog+xml"/>
  <Override PartName="/xl/revisions/revisionLog153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1411.xml" ContentType="application/vnd.openxmlformats-officedocument.spreadsheetml.revisionLog+xml"/>
  <Override PartName="/xl/revisions/revisionLog171.xml" ContentType="application/vnd.openxmlformats-officedocument.spreadsheetml.revisionLog+xml"/>
  <Override PartName="/xl/revisions/revisionLog124.xml" ContentType="application/vnd.openxmlformats-officedocument.spreadsheetml.revisionLog+xml"/>
  <Override PartName="/xl/revisions/revisionLog1261.xml" ContentType="application/vnd.openxmlformats-officedocument.spreadsheetml.revisionLog+xml"/>
  <Override PartName="/xl/revisions/revisionLog1921.xml" ContentType="application/vnd.openxmlformats-officedocument.spreadsheetml.revisionLog+xml"/>
  <Override PartName="/xl/revisions/revisionLog1811111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7400" windowHeight="12525" activeTab="1"/>
  </bookViews>
  <sheets>
    <sheet name="Отчет ПРО" sheetId="1" r:id="rId1"/>
    <sheet name="Реестр актов" sheetId="2" r:id="rId2"/>
    <sheet name="Лист" sheetId="3" state="hidden" r:id="rId3"/>
    <sheet name="Лист1" sheetId="4" state="hidden" r:id="rId4"/>
  </sheets>
  <calcPr calcId="124519"/>
  <customWorkbookViews>
    <customWorkbookView name="Работа - Личное представление" guid="{32804526-0746-47BD-964F-D9E07D890F54}" mergeInterval="0" personalView="1" maximized="1" xWindow="1" yWindow="1" windowWidth="1680" windowHeight="820" activeSheetId="2"/>
    <customWorkbookView name="Белова-АЮ - Личное представление" guid="{586B0D0F-AFD5-489E-A810-F5CDD42644EC}" mergeInterval="0" personalView="1" maximized="1" xWindow="1" yWindow="1" windowWidth="1920" windowHeight="850" activeSheetId="2"/>
  </customWorkbookViews>
</workbook>
</file>

<file path=xl/calcChain.xml><?xml version="1.0" encoding="utf-8"?>
<calcChain xmlns="http://schemas.openxmlformats.org/spreadsheetml/2006/main">
  <c r="F11" i="2"/>
  <c r="G11" i="1"/>
  <c r="F250" i="2"/>
  <c r="G248" i="1"/>
  <c r="G249"/>
  <c r="G183"/>
  <c r="F114" i="2"/>
  <c r="G114" i="1"/>
  <c r="F103" i="2"/>
  <c r="G103" i="1"/>
  <c r="F84" i="2"/>
  <c r="G84" i="1"/>
  <c r="F64" i="2"/>
  <c r="G64" i="1"/>
  <c r="F54" i="2"/>
  <c r="G54" i="1"/>
  <c r="F45" i="2"/>
  <c r="G45" i="1"/>
  <c r="E263"/>
  <c r="F249" i="2"/>
  <c r="I247" i="1"/>
  <c r="G247"/>
  <c r="G262" l="1"/>
  <c r="H262" s="1"/>
  <c r="I262"/>
  <c r="F234" i="2" l="1"/>
  <c r="F233"/>
  <c r="G232" i="1"/>
  <c r="I232"/>
  <c r="F188" i="2"/>
  <c r="I186" i="1"/>
  <c r="G186"/>
  <c r="F187" i="2"/>
  <c r="I185" i="1"/>
  <c r="G185"/>
  <c r="I183"/>
  <c r="F241" i="2"/>
  <c r="G239" i="1"/>
  <c r="I239"/>
  <c r="F239" i="2"/>
  <c r="I237" i="1"/>
  <c r="G237"/>
  <c r="F238" i="2"/>
  <c r="G236" i="1"/>
  <c r="I236"/>
  <c r="F240" i="2"/>
  <c r="G238" i="1"/>
  <c r="I238"/>
  <c r="F242" i="2"/>
  <c r="G240" i="1"/>
  <c r="G241"/>
  <c r="I240"/>
  <c r="F244" i="2"/>
  <c r="I242" i="1"/>
  <c r="G242"/>
  <c r="F243" i="2"/>
  <c r="I241" i="1"/>
  <c r="F247" i="2"/>
  <c r="G245" i="1"/>
  <c r="I245"/>
  <c r="F246" i="2"/>
  <c r="G244" i="1"/>
  <c r="G246"/>
  <c r="I244"/>
  <c r="F245" i="2"/>
  <c r="I243" i="1"/>
  <c r="G243"/>
  <c r="F248" i="2"/>
  <c r="I246" i="1"/>
  <c r="F235" i="2"/>
  <c r="G233" i="1"/>
  <c r="I233"/>
  <c r="G231"/>
  <c r="I231"/>
  <c r="F232" i="2"/>
  <c r="G230" i="1"/>
  <c r="I230"/>
  <c r="F231" i="2"/>
  <c r="I229" i="1"/>
  <c r="G229"/>
  <c r="F222" i="2"/>
  <c r="G220" i="1"/>
  <c r="I220"/>
  <c r="F221" i="2"/>
  <c r="G219" i="1"/>
  <c r="I219"/>
  <c r="F191" i="2"/>
  <c r="I189" i="1"/>
  <c r="H189" s="1"/>
  <c r="G189"/>
  <c r="F189"/>
  <c r="F219" i="2"/>
  <c r="G217" i="1"/>
  <c r="I217"/>
  <c r="F190" i="2"/>
  <c r="I188" i="1"/>
  <c r="G188"/>
  <c r="F188" s="1"/>
  <c r="F218" i="2"/>
  <c r="G216" i="1"/>
  <c r="I216"/>
  <c r="F216" i="2"/>
  <c r="G214" i="1"/>
  <c r="I214"/>
  <c r="I228"/>
  <c r="G228"/>
  <c r="F230" i="2"/>
  <c r="F229"/>
  <c r="G227" i="1"/>
  <c r="I227"/>
  <c r="F217" i="2"/>
  <c r="G215" i="1"/>
  <c r="I215"/>
  <c r="F236" i="2"/>
  <c r="G234" i="1"/>
  <c r="I234"/>
  <c r="F194" i="2"/>
  <c r="G192" i="1"/>
  <c r="I192"/>
  <c r="F228" i="2"/>
  <c r="G226" i="1"/>
  <c r="I226"/>
  <c r="F220" i="2"/>
  <c r="G218" i="1"/>
  <c r="I218"/>
  <c r="F225" i="2"/>
  <c r="G223" i="1"/>
  <c r="I223"/>
  <c r="F224" i="2"/>
  <c r="I222" i="1"/>
  <c r="G222"/>
  <c r="F215" i="2"/>
  <c r="I213" i="1"/>
  <c r="G213"/>
  <c r="F237" i="2"/>
  <c r="I235" i="1"/>
  <c r="G235"/>
  <c r="F214" i="2"/>
  <c r="I212" i="1"/>
  <c r="G212"/>
  <c r="F227" i="2"/>
  <c r="I225" i="1"/>
  <c r="G225"/>
  <c r="F213" i="2"/>
  <c r="I211" i="1"/>
  <c r="G211"/>
  <c r="F212" i="2"/>
  <c r="I210" i="1"/>
  <c r="G210"/>
  <c r="F226" i="2"/>
  <c r="I224" i="1"/>
  <c r="G224"/>
  <c r="F211" i="2"/>
  <c r="I209" i="1"/>
  <c r="G209"/>
  <c r="F208" i="2"/>
  <c r="I206" i="1"/>
  <c r="G206"/>
  <c r="F209" i="2"/>
  <c r="I207" i="1"/>
  <c r="G207"/>
  <c r="F210" i="2"/>
  <c r="I208" i="1"/>
  <c r="G208"/>
  <c r="F206" i="2"/>
  <c r="I204" i="1"/>
  <c r="G204"/>
  <c r="F207" i="2"/>
  <c r="I205" i="1"/>
  <c r="G205"/>
  <c r="F195" i="2"/>
  <c r="I193" i="1"/>
  <c r="G193"/>
  <c r="F205" i="2"/>
  <c r="I203" i="1"/>
  <c r="G203"/>
  <c r="F223" i="2"/>
  <c r="I221" i="1"/>
  <c r="G221"/>
  <c r="F204" i="2"/>
  <c r="I202" i="1"/>
  <c r="G202"/>
  <c r="F203" i="2"/>
  <c r="G201" i="1"/>
  <c r="I201"/>
  <c r="F199" i="2"/>
  <c r="I197" i="1"/>
  <c r="G197"/>
  <c r="F193" i="2"/>
  <c r="I191" i="1"/>
  <c r="G191"/>
  <c r="F191" s="1"/>
  <c r="F198" i="2"/>
  <c r="I196" i="1"/>
  <c r="G196"/>
  <c r="F202" i="2"/>
  <c r="I200" i="1"/>
  <c r="G200"/>
  <c r="F192" i="2"/>
  <c r="I190" i="1"/>
  <c r="G190"/>
  <c r="F190" s="1"/>
  <c r="F200" i="2"/>
  <c r="I198" i="1"/>
  <c r="G198"/>
  <c r="F197" i="2"/>
  <c r="I195" i="1"/>
  <c r="G195"/>
  <c r="F196" i="2"/>
  <c r="I194" i="1"/>
  <c r="G194"/>
  <c r="F201" i="2"/>
  <c r="I199" i="1"/>
  <c r="G199"/>
  <c r="F178" i="2"/>
  <c r="I178" i="1"/>
  <c r="G178"/>
  <c r="F177" i="2"/>
  <c r="I177" i="1"/>
  <c r="G177"/>
  <c r="F176" i="2"/>
  <c r="I176" i="1"/>
  <c r="G176"/>
  <c r="F175" i="2"/>
  <c r="I175" i="1"/>
  <c r="G175"/>
  <c r="F172" i="2"/>
  <c r="I172" i="1"/>
  <c r="G172"/>
  <c r="F100" i="2"/>
  <c r="I100" i="1"/>
  <c r="G100"/>
  <c r="F98" i="2"/>
  <c r="I98" i="1"/>
  <c r="G98"/>
  <c r="F96" i="2"/>
  <c r="I96" i="1"/>
  <c r="G96"/>
  <c r="F95" i="2"/>
  <c r="I95" i="1"/>
  <c r="G95"/>
  <c r="F94" i="2"/>
  <c r="I94" i="1"/>
  <c r="G94"/>
  <c r="F93" i="2"/>
  <c r="I93" i="1"/>
  <c r="G93"/>
  <c r="F92" i="2"/>
  <c r="I92" i="1"/>
  <c r="G92"/>
  <c r="F91" i="2"/>
  <c r="I91" i="1"/>
  <c r="G91"/>
  <c r="F90" i="2"/>
  <c r="I90" i="1"/>
  <c r="G90"/>
  <c r="F89" i="2"/>
  <c r="I89" i="1"/>
  <c r="G89"/>
  <c r="F79" i="2"/>
  <c r="I79" i="1"/>
  <c r="G79"/>
  <c r="F71" i="2"/>
  <c r="I71" i="1"/>
  <c r="G71"/>
  <c r="F70" i="2"/>
  <c r="I70" i="1"/>
  <c r="G70"/>
  <c r="F62" i="2"/>
  <c r="I62" i="1"/>
  <c r="G62"/>
  <c r="I54"/>
  <c r="F170" i="2"/>
  <c r="I170" i="1"/>
  <c r="G170"/>
  <c r="F169" i="2"/>
  <c r="I169" i="1"/>
  <c r="G169"/>
  <c r="F168" i="2"/>
  <c r="I168" i="1"/>
  <c r="G168"/>
  <c r="F167" i="2"/>
  <c r="I167" i="1"/>
  <c r="G167"/>
  <c r="F166" i="2"/>
  <c r="I166" i="1"/>
  <c r="G166"/>
  <c r="F165" i="2"/>
  <c r="I165" i="1"/>
  <c r="G165"/>
  <c r="F164" i="2"/>
  <c r="I164" i="1"/>
  <c r="G164"/>
  <c r="F158" i="2"/>
  <c r="I158" i="1"/>
  <c r="G158"/>
  <c r="F157" i="2"/>
  <c r="I157" i="1"/>
  <c r="G157"/>
  <c r="F154" i="2"/>
  <c r="I154" i="1"/>
  <c r="G154"/>
  <c r="F152" i="2"/>
  <c r="I152" i="1"/>
  <c r="G152"/>
  <c r="F150" i="2"/>
  <c r="I150" i="1"/>
  <c r="G150"/>
  <c r="F148" i="2"/>
  <c r="I148" i="1"/>
  <c r="G148"/>
  <c r="F146" i="2"/>
  <c r="I146" i="1"/>
  <c r="G146"/>
  <c r="F136" i="2"/>
  <c r="I136" i="1"/>
  <c r="G136"/>
  <c r="F144" i="2"/>
  <c r="I144" i="1"/>
  <c r="G144"/>
  <c r="F142" i="2"/>
  <c r="I142" i="1"/>
  <c r="G142"/>
  <c r="F120" i="2"/>
  <c r="I120" i="1"/>
  <c r="G120"/>
  <c r="F33" i="2"/>
  <c r="I33" i="1"/>
  <c r="G33"/>
  <c r="F32" i="2"/>
  <c r="I24" i="1"/>
  <c r="G31"/>
  <c r="F31"/>
  <c r="I32"/>
  <c r="G32"/>
  <c r="F24" i="2"/>
  <c r="G24" i="1"/>
  <c r="F21" i="2"/>
  <c r="I21" i="1"/>
  <c r="G21"/>
  <c r="F78" i="2"/>
  <c r="I78" i="1"/>
  <c r="G78"/>
  <c r="F76" i="2"/>
  <c r="I76" i="1"/>
  <c r="G76"/>
  <c r="F55" i="2"/>
  <c r="I55" i="1"/>
  <c r="G55"/>
  <c r="F60" i="2"/>
  <c r="I60" i="1"/>
  <c r="G60"/>
  <c r="F80" i="2"/>
  <c r="I80" i="1"/>
  <c r="G80"/>
  <c r="I248"/>
  <c r="F251" i="2"/>
  <c r="I249" i="1"/>
  <c r="F252" i="2"/>
  <c r="I250" i="1"/>
  <c r="G250"/>
  <c r="F261" i="2"/>
  <c r="I259" i="1"/>
  <c r="G259"/>
  <c r="F258" i="2"/>
  <c r="I256" i="1"/>
  <c r="G256"/>
  <c r="F257" i="2"/>
  <c r="I255" i="1"/>
  <c r="G255"/>
  <c r="F256" i="2"/>
  <c r="I254" i="1"/>
  <c r="G254"/>
  <c r="F255" i="2"/>
  <c r="I253" i="1"/>
  <c r="G253"/>
  <c r="F254" i="2"/>
  <c r="I252" i="1"/>
  <c r="G252"/>
  <c r="F253" i="2"/>
  <c r="I251" i="1"/>
  <c r="G251"/>
  <c r="F259" i="2"/>
  <c r="I257" i="1"/>
  <c r="G257"/>
  <c r="F257" s="1"/>
  <c r="F260" i="2"/>
  <c r="I258" i="1"/>
  <c r="G258"/>
  <c r="F161" i="2"/>
  <c r="I161" i="1"/>
  <c r="G161"/>
  <c r="F35" i="2"/>
  <c r="I35" i="1"/>
  <c r="G35"/>
  <c r="F179" i="2"/>
  <c r="I179" i="1"/>
  <c r="G179"/>
  <c r="F179"/>
  <c r="F156" i="2"/>
  <c r="I156" i="1"/>
  <c r="G156"/>
  <c r="F153" i="2"/>
  <c r="I153" i="1"/>
  <c r="G153"/>
  <c r="F151" i="2"/>
  <c r="I151" i="1"/>
  <c r="G151"/>
  <c r="F149" i="2"/>
  <c r="I149" i="1"/>
  <c r="G149"/>
  <c r="F147" i="2"/>
  <c r="I147" i="1"/>
  <c r="G147"/>
  <c r="F145" i="2"/>
  <c r="I145" i="1"/>
  <c r="G145"/>
  <c r="F143" i="2"/>
  <c r="I143" i="1"/>
  <c r="G143"/>
  <c r="F141" i="2"/>
  <c r="I141" i="1"/>
  <c r="G141"/>
  <c r="F69" i="2"/>
  <c r="I69" i="1"/>
  <c r="H69" s="1"/>
  <c r="G69"/>
  <c r="F53" i="2"/>
  <c r="I53" i="1"/>
  <c r="G53"/>
  <c r="F44" i="2"/>
  <c r="I44" i="1"/>
  <c r="H44" s="1"/>
  <c r="G44"/>
  <c r="F43" i="2"/>
  <c r="I43" i="1"/>
  <c r="G43"/>
  <c r="F41" i="2"/>
  <c r="I41" i="1"/>
  <c r="G41"/>
  <c r="F40" i="2"/>
  <c r="I40" i="1"/>
  <c r="G40"/>
  <c r="H40" s="1"/>
  <c r="F39" i="2"/>
  <c r="I39" i="1"/>
  <c r="G39"/>
  <c r="F39" s="1"/>
  <c r="F38" i="2"/>
  <c r="I38" i="1"/>
  <c r="G38"/>
  <c r="H38" s="1"/>
  <c r="F37" i="2"/>
  <c r="I37" i="1"/>
  <c r="G37"/>
  <c r="F37" s="1"/>
  <c r="F31" i="2"/>
  <c r="I31" i="1"/>
  <c r="F29" i="2"/>
  <c r="I29" i="1"/>
  <c r="G29"/>
  <c r="F29" s="1"/>
  <c r="F28" i="2"/>
  <c r="I28" i="1"/>
  <c r="G28"/>
  <c r="F27" i="2"/>
  <c r="I27" i="1"/>
  <c r="G27"/>
  <c r="F27" s="1"/>
  <c r="F26" i="2"/>
  <c r="I26" i="1"/>
  <c r="G26"/>
  <c r="H26" s="1"/>
  <c r="F25" i="2"/>
  <c r="I25" i="1"/>
  <c r="G25"/>
  <c r="F25" s="1"/>
  <c r="F23" i="2"/>
  <c r="I23" i="1"/>
  <c r="G23"/>
  <c r="F23" s="1"/>
  <c r="F20" i="2"/>
  <c r="I20" i="1"/>
  <c r="G20"/>
  <c r="H20" s="1"/>
  <c r="F19" i="2"/>
  <c r="I19" i="1"/>
  <c r="G19"/>
  <c r="F19" s="1"/>
  <c r="F17" i="2"/>
  <c r="I17" i="1"/>
  <c r="G17"/>
  <c r="F17" s="1"/>
  <c r="F16" i="2"/>
  <c r="I16" i="1"/>
  <c r="G16"/>
  <c r="H16" s="1"/>
  <c r="F15" i="2"/>
  <c r="I15" i="1"/>
  <c r="G15"/>
  <c r="F15" s="1"/>
  <c r="F13" i="2"/>
  <c r="I13" i="1"/>
  <c r="G13"/>
  <c r="F13" s="1"/>
  <c r="I11"/>
  <c r="F11"/>
  <c r="F8" i="2"/>
  <c r="I8" i="1"/>
  <c r="G8"/>
  <c r="H8" s="1"/>
  <c r="F14" i="2"/>
  <c r="I14" i="1"/>
  <c r="G14"/>
  <c r="H14" s="1"/>
  <c r="F12" i="2"/>
  <c r="I12" i="1"/>
  <c r="G12"/>
  <c r="H12" s="1"/>
  <c r="F7" i="2"/>
  <c r="I7" i="1"/>
  <c r="G7"/>
  <c r="F10" i="2"/>
  <c r="I10" i="1"/>
  <c r="G10"/>
  <c r="H10" s="1"/>
  <c r="F9" i="2"/>
  <c r="I9" i="1"/>
  <c r="G9"/>
  <c r="F9" s="1"/>
  <c r="F183"/>
  <c r="I128"/>
  <c r="G128"/>
  <c r="H128" s="1"/>
  <c r="I129"/>
  <c r="G129"/>
  <c r="F129" s="1"/>
  <c r="I125"/>
  <c r="G125"/>
  <c r="F125" s="1"/>
  <c r="I124"/>
  <c r="G124"/>
  <c r="H124" s="1"/>
  <c r="I130"/>
  <c r="G130"/>
  <c r="H130" s="1"/>
  <c r="I127"/>
  <c r="G127"/>
  <c r="F127" s="1"/>
  <c r="I122"/>
  <c r="G122"/>
  <c r="H122" s="1"/>
  <c r="I126"/>
  <c r="G126"/>
  <c r="H126" s="1"/>
  <c r="I123"/>
  <c r="G123"/>
  <c r="F123" s="1"/>
  <c r="I187"/>
  <c r="G187"/>
  <c r="F187" s="1"/>
  <c r="I121"/>
  <c r="G121"/>
  <c r="F121" s="1"/>
  <c r="I119"/>
  <c r="G119"/>
  <c r="F119" s="1"/>
  <c r="I118"/>
  <c r="G118"/>
  <c r="H118" s="1"/>
  <c r="I117"/>
  <c r="G117"/>
  <c r="F117" s="1"/>
  <c r="I116"/>
  <c r="G116"/>
  <c r="H116" s="1"/>
  <c r="I115"/>
  <c r="G115"/>
  <c r="F115" s="1"/>
  <c r="I114"/>
  <c r="H114"/>
  <c r="I113"/>
  <c r="G113"/>
  <c r="F113" s="1"/>
  <c r="I112"/>
  <c r="G112"/>
  <c r="H112" s="1"/>
  <c r="I111"/>
  <c r="G111"/>
  <c r="F111" s="1"/>
  <c r="I110"/>
  <c r="G110"/>
  <c r="H110" s="1"/>
  <c r="I109"/>
  <c r="G109"/>
  <c r="F109" s="1"/>
  <c r="I108"/>
  <c r="G108"/>
  <c r="H108" s="1"/>
  <c r="I107"/>
  <c r="G107"/>
  <c r="F107" s="1"/>
  <c r="I106"/>
  <c r="G106"/>
  <c r="H106" s="1"/>
  <c r="I105"/>
  <c r="G105"/>
  <c r="F105" s="1"/>
  <c r="I104"/>
  <c r="G104"/>
  <c r="H104" s="1"/>
  <c r="I103"/>
  <c r="F103"/>
  <c r="I102"/>
  <c r="G102"/>
  <c r="H102" s="1"/>
  <c r="I81"/>
  <c r="G81"/>
  <c r="H81" s="1"/>
  <c r="I77"/>
  <c r="G77"/>
  <c r="H77" s="1"/>
  <c r="I75"/>
  <c r="G75"/>
  <c r="H75" s="1"/>
  <c r="I72"/>
  <c r="G72"/>
  <c r="I68"/>
  <c r="G68"/>
  <c r="I66"/>
  <c r="G66"/>
  <c r="I64"/>
  <c r="H64"/>
  <c r="I63"/>
  <c r="G63"/>
  <c r="F63" s="1"/>
  <c r="I61"/>
  <c r="G61"/>
  <c r="F61" s="1"/>
  <c r="I59"/>
  <c r="G59"/>
  <c r="F59" s="1"/>
  <c r="I58"/>
  <c r="G58"/>
  <c r="H58" s="1"/>
  <c r="I57"/>
  <c r="G57"/>
  <c r="F57" s="1"/>
  <c r="I56"/>
  <c r="G56"/>
  <c r="H56" s="1"/>
  <c r="I52"/>
  <c r="G52"/>
  <c r="H52" s="1"/>
  <c r="I51"/>
  <c r="G51"/>
  <c r="F51" s="1"/>
  <c r="I49"/>
  <c r="G49"/>
  <c r="F49" s="1"/>
  <c r="I47"/>
  <c r="G47"/>
  <c r="F47" s="1"/>
  <c r="I45"/>
  <c r="F45"/>
  <c r="I42"/>
  <c r="G42"/>
  <c r="H42" s="1"/>
  <c r="I36"/>
  <c r="G36"/>
  <c r="H36" s="1"/>
  <c r="I30"/>
  <c r="G30"/>
  <c r="H30" s="1"/>
  <c r="I22"/>
  <c r="G22"/>
  <c r="H22" s="1"/>
  <c r="I18"/>
  <c r="G18"/>
  <c r="H18" s="1"/>
  <c r="I184"/>
  <c r="G184"/>
  <c r="H184" s="1"/>
  <c r="I260"/>
  <c r="G260"/>
  <c r="H260" s="1"/>
  <c r="I261"/>
  <c r="G261"/>
  <c r="F261" s="1"/>
  <c r="I140"/>
  <c r="G140"/>
  <c r="H140" s="1"/>
  <c r="I139"/>
  <c r="G139"/>
  <c r="F139" s="1"/>
  <c r="I138"/>
  <c r="G138"/>
  <c r="H138" s="1"/>
  <c r="I48"/>
  <c r="G48"/>
  <c r="H48" s="1"/>
  <c r="I83"/>
  <c r="G83"/>
  <c r="H83" s="1"/>
  <c r="I50"/>
  <c r="G50"/>
  <c r="H50" s="1"/>
  <c r="I82"/>
  <c r="G82"/>
  <c r="I73"/>
  <c r="G73"/>
  <c r="H73" s="1"/>
  <c r="I85"/>
  <c r="G85"/>
  <c r="H85" s="1"/>
  <c r="I67"/>
  <c r="G67"/>
  <c r="H67" s="1"/>
  <c r="I74"/>
  <c r="G74"/>
  <c r="I65"/>
  <c r="G65"/>
  <c r="F65" s="1"/>
  <c r="I137"/>
  <c r="G137"/>
  <c r="F137" s="1"/>
  <c r="I46"/>
  <c r="G46"/>
  <c r="H46" s="1"/>
  <c r="I86"/>
  <c r="G86"/>
  <c r="I97"/>
  <c r="G97"/>
  <c r="H97" s="1"/>
  <c r="I99"/>
  <c r="G99"/>
  <c r="F99" s="1"/>
  <c r="I87"/>
  <c r="G87"/>
  <c r="H87" s="1"/>
  <c r="I88"/>
  <c r="G88"/>
  <c r="I101"/>
  <c r="G101"/>
  <c r="F101" s="1"/>
  <c r="I84"/>
  <c r="G135"/>
  <c r="I135"/>
  <c r="G134"/>
  <c r="I134"/>
  <c r="I133"/>
  <c r="G133"/>
  <c r="I132"/>
  <c r="G132"/>
  <c r="G131"/>
  <c r="I131"/>
  <c r="I182"/>
  <c r="I173"/>
  <c r="G182"/>
  <c r="F182" s="1"/>
  <c r="G181"/>
  <c r="I181"/>
  <c r="G180"/>
  <c r="I180"/>
  <c r="G174"/>
  <c r="I174"/>
  <c r="G173"/>
  <c r="I171"/>
  <c r="H171" s="1"/>
  <c r="G171"/>
  <c r="I163"/>
  <c r="G163"/>
  <c r="I162"/>
  <c r="G162"/>
  <c r="I160"/>
  <c r="H160" s="1"/>
  <c r="G160"/>
  <c r="G155"/>
  <c r="F155" s="1"/>
  <c r="I155"/>
  <c r="G159"/>
  <c r="F159" s="1"/>
  <c r="H161"/>
  <c r="H164"/>
  <c r="H165"/>
  <c r="H166"/>
  <c r="H167"/>
  <c r="H168"/>
  <c r="H169"/>
  <c r="H170"/>
  <c r="H172"/>
  <c r="H174"/>
  <c r="H175"/>
  <c r="H176"/>
  <c r="H177"/>
  <c r="H178"/>
  <c r="H185"/>
  <c r="H186"/>
  <c r="H187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7"/>
  <c r="H258"/>
  <c r="H259"/>
  <c r="H261"/>
  <c r="H7"/>
  <c r="H9"/>
  <c r="H11"/>
  <c r="H13"/>
  <c r="H15"/>
  <c r="H17"/>
  <c r="H19"/>
  <c r="H21"/>
  <c r="H23"/>
  <c r="H24"/>
  <c r="H25"/>
  <c r="H27"/>
  <c r="H29"/>
  <c r="H31"/>
  <c r="H32"/>
  <c r="H33"/>
  <c r="H34"/>
  <c r="H35"/>
  <c r="H37"/>
  <c r="H39"/>
  <c r="H41"/>
  <c r="H43"/>
  <c r="H45"/>
  <c r="H47"/>
  <c r="H49"/>
  <c r="H51"/>
  <c r="H53"/>
  <c r="H54"/>
  <c r="H55"/>
  <c r="H57"/>
  <c r="H59"/>
  <c r="H60"/>
  <c r="H61"/>
  <c r="H62"/>
  <c r="H63"/>
  <c r="H66"/>
  <c r="H68"/>
  <c r="H70"/>
  <c r="H71"/>
  <c r="H72"/>
  <c r="H74"/>
  <c r="H76"/>
  <c r="H78"/>
  <c r="H79"/>
  <c r="H80"/>
  <c r="H82"/>
  <c r="H84"/>
  <c r="H86"/>
  <c r="H88"/>
  <c r="H89"/>
  <c r="H90"/>
  <c r="H91"/>
  <c r="H92"/>
  <c r="H93"/>
  <c r="H94"/>
  <c r="H95"/>
  <c r="H96"/>
  <c r="H98"/>
  <c r="H100"/>
  <c r="H101"/>
  <c r="H103"/>
  <c r="H105"/>
  <c r="H107"/>
  <c r="H109"/>
  <c r="H111"/>
  <c r="H113"/>
  <c r="H115"/>
  <c r="H117"/>
  <c r="H119"/>
  <c r="H120"/>
  <c r="H121"/>
  <c r="H123"/>
  <c r="H125"/>
  <c r="H127"/>
  <c r="H129"/>
  <c r="H132"/>
  <c r="H135"/>
  <c r="H136"/>
  <c r="H137"/>
  <c r="H139"/>
  <c r="H141"/>
  <c r="H142"/>
  <c r="H143"/>
  <c r="H144"/>
  <c r="H145"/>
  <c r="H146"/>
  <c r="H147"/>
  <c r="H148"/>
  <c r="H149"/>
  <c r="H150"/>
  <c r="H151"/>
  <c r="H152"/>
  <c r="H153"/>
  <c r="H154"/>
  <c r="H156"/>
  <c r="H157"/>
  <c r="H158"/>
  <c r="I159"/>
  <c r="F262"/>
  <c r="F260"/>
  <c r="F259"/>
  <c r="F258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86"/>
  <c r="F185"/>
  <c r="F184"/>
  <c r="F181"/>
  <c r="F180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8"/>
  <c r="F10"/>
  <c r="F12"/>
  <c r="F14"/>
  <c r="F16"/>
  <c r="F18"/>
  <c r="F20"/>
  <c r="F21"/>
  <c r="F22"/>
  <c r="F24"/>
  <c r="F26"/>
  <c r="F28"/>
  <c r="F30"/>
  <c r="F32"/>
  <c r="F33"/>
  <c r="F34"/>
  <c r="F35"/>
  <c r="F36"/>
  <c r="F38"/>
  <c r="F40"/>
  <c r="F41"/>
  <c r="F42"/>
  <c r="F43"/>
  <c r="F44"/>
  <c r="F46"/>
  <c r="F48"/>
  <c r="F50"/>
  <c r="F52"/>
  <c r="F53"/>
  <c r="F54"/>
  <c r="F55"/>
  <c r="F56"/>
  <c r="F58"/>
  <c r="F60"/>
  <c r="F62"/>
  <c r="F64"/>
  <c r="F66"/>
  <c r="F68"/>
  <c r="F69"/>
  <c r="F70"/>
  <c r="F71"/>
  <c r="F72"/>
  <c r="F74"/>
  <c r="F76"/>
  <c r="F78"/>
  <c r="F79"/>
  <c r="F80"/>
  <c r="F82"/>
  <c r="F84"/>
  <c r="F86"/>
  <c r="F88"/>
  <c r="F89"/>
  <c r="F90"/>
  <c r="F91"/>
  <c r="F92"/>
  <c r="F93"/>
  <c r="F94"/>
  <c r="F95"/>
  <c r="F96"/>
  <c r="F98"/>
  <c r="F100"/>
  <c r="F102"/>
  <c r="F104"/>
  <c r="F106"/>
  <c r="F108"/>
  <c r="F110"/>
  <c r="F112"/>
  <c r="F114"/>
  <c r="F116"/>
  <c r="F118"/>
  <c r="F120"/>
  <c r="F122"/>
  <c r="F124"/>
  <c r="F126"/>
  <c r="F128"/>
  <c r="F130"/>
  <c r="F131"/>
  <c r="F132"/>
  <c r="F134"/>
  <c r="F135"/>
  <c r="F136"/>
  <c r="F138"/>
  <c r="F140"/>
  <c r="F141"/>
  <c r="F142"/>
  <c r="F143"/>
  <c r="F144"/>
  <c r="F145"/>
  <c r="F146"/>
  <c r="F147"/>
  <c r="F148"/>
  <c r="F149"/>
  <c r="F150"/>
  <c r="F151"/>
  <c r="F152"/>
  <c r="F153"/>
  <c r="F154"/>
  <c r="F156"/>
  <c r="F157"/>
  <c r="F158"/>
  <c r="H159"/>
  <c r="F128" i="2"/>
  <c r="F133"/>
  <c r="F132"/>
  <c r="F129"/>
  <c r="F125"/>
  <c r="F124"/>
  <c r="F130"/>
  <c r="F127"/>
  <c r="F122"/>
  <c r="F126"/>
  <c r="F123"/>
  <c r="F189"/>
  <c r="F121"/>
  <c r="F119"/>
  <c r="F118"/>
  <c r="F117"/>
  <c r="F116"/>
  <c r="F115"/>
  <c r="F113"/>
  <c r="F112"/>
  <c r="F111"/>
  <c r="F110"/>
  <c r="F109"/>
  <c r="F108"/>
  <c r="F107"/>
  <c r="F106"/>
  <c r="F105"/>
  <c r="F104"/>
  <c r="F102"/>
  <c r="F81"/>
  <c r="F77"/>
  <c r="F75"/>
  <c r="F72"/>
  <c r="F68"/>
  <c r="F66"/>
  <c r="F63"/>
  <c r="F155"/>
  <c r="F61"/>
  <c r="F59"/>
  <c r="F58"/>
  <c r="F57"/>
  <c r="F56"/>
  <c r="F52"/>
  <c r="F51"/>
  <c r="F49"/>
  <c r="F47"/>
  <c r="F42"/>
  <c r="F36"/>
  <c r="F30"/>
  <c r="F22"/>
  <c r="F18"/>
  <c r="F186"/>
  <c r="F264"/>
  <c r="F262"/>
  <c r="F263"/>
  <c r="F140"/>
  <c r="F139"/>
  <c r="F138"/>
  <c r="F48"/>
  <c r="F83"/>
  <c r="F50"/>
  <c r="F82"/>
  <c r="F73"/>
  <c r="F85"/>
  <c r="F67"/>
  <c r="F74"/>
  <c r="F65"/>
  <c r="F137"/>
  <c r="F46"/>
  <c r="F86"/>
  <c r="F97"/>
  <c r="F99"/>
  <c r="F87"/>
  <c r="F88"/>
  <c r="F101"/>
  <c r="F135"/>
  <c r="F134"/>
  <c r="F131"/>
  <c r="F183"/>
  <c r="F185"/>
  <c r="F184"/>
  <c r="F182"/>
  <c r="F181"/>
  <c r="F180"/>
  <c r="F174"/>
  <c r="F173"/>
  <c r="F171"/>
  <c r="F163"/>
  <c r="F162"/>
  <c r="F160"/>
  <c r="F159"/>
  <c r="D265"/>
  <c r="H133" i="1" l="1"/>
  <c r="I263"/>
  <c r="H190"/>
  <c r="F7"/>
  <c r="G263"/>
  <c r="H28"/>
  <c r="H188"/>
  <c r="F265" i="2"/>
  <c r="H256" i="1"/>
  <c r="H179"/>
  <c r="F133"/>
  <c r="F97"/>
  <c r="F87"/>
  <c r="F85"/>
  <c r="F83"/>
  <c r="F81"/>
  <c r="F77"/>
  <c r="F75"/>
  <c r="F73"/>
  <c r="F67"/>
  <c r="F263" s="1"/>
  <c r="H183"/>
  <c r="H131"/>
  <c r="H134"/>
  <c r="H99"/>
  <c r="H65"/>
  <c r="H182"/>
  <c r="H181"/>
  <c r="H180"/>
  <c r="H173"/>
  <c r="H163"/>
  <c r="H162"/>
  <c r="H155"/>
  <c r="H263" l="1"/>
</calcChain>
</file>

<file path=xl/sharedStrings.xml><?xml version="1.0" encoding="utf-8"?>
<sst xmlns="http://schemas.openxmlformats.org/spreadsheetml/2006/main" count="3378" uniqueCount="671">
  <si>
    <t>Отчет о выполнении программ ремонтного обслуживания ООО "Горэлектросеть" за 2016 год</t>
  </si>
  <si>
    <t>Приложение</t>
  </si>
  <si>
    <t>Наименование объекта, работ</t>
  </si>
  <si>
    <t>Вид ремонта</t>
  </si>
  <si>
    <t>Физический объем выполненных работ в натуральном выражении (км, кВА, шт. и т.д.)</t>
  </si>
  <si>
    <t>Всего</t>
  </si>
  <si>
    <t>стоимость работ</t>
  </si>
  <si>
    <t>стоимость материалов</t>
  </si>
  <si>
    <t>Фактическое освоение ремонтного фонда, тыс.руб.</t>
  </si>
  <si>
    <t>ИТОГО</t>
  </si>
  <si>
    <t>в т.ч. подрядными организациями</t>
  </si>
  <si>
    <t>в т.ч. хозяйственным способом</t>
  </si>
  <si>
    <t>Руководитель предприятия</t>
  </si>
  <si>
    <t>(подпись)</t>
  </si>
  <si>
    <t>м.п.</t>
  </si>
  <si>
    <t>______________   /_________________/    ………………"_____"_____________2017г.</t>
  </si>
  <si>
    <t>Наименование объекта, мероприятия</t>
  </si>
  <si>
    <t>Наименование исполнителя</t>
  </si>
  <si>
    <t xml:space="preserve">Реестр актов приемки по ремонтной программе ООО "Горэлектросеть" за 2016 год, в части передачи электроэнергии </t>
  </si>
  <si>
    <t>Акт о приемке выполненных работ КС-2 и товарная накладная на давальческие материалы             (при наличии)</t>
  </si>
  <si>
    <t>Номер и дата</t>
  </si>
  <si>
    <t>Стоимость по акту без НДС, тыс.руб.</t>
  </si>
  <si>
    <t>Стоимость по справке без НДС, тыс.руб.</t>
  </si>
  <si>
    <t>Документы, подтверждающие расходы на выполнение работ хозяйственным способом (указать наименование документа)</t>
  </si>
  <si>
    <t>Стоимость по  акту без НДС, тыс.руб.</t>
  </si>
  <si>
    <t>Акт о приеме-сдаче отремонтированных, реконструированных, модернизированных объектов основных средств ОС-3</t>
  </si>
  <si>
    <t>ВСЕГО по программе</t>
  </si>
  <si>
    <t>Ремонт фасада ТП-20 Кирова,7а</t>
  </si>
  <si>
    <t>Ремонт фасада ТП-428 Советской Армии,37</t>
  </si>
  <si>
    <t>Ремонт фасада ТП-440 Клименко,21А</t>
  </si>
  <si>
    <t>Ремонт фасада ТП-441 Клименко,27А</t>
  </si>
  <si>
    <t>Ремонт фасада ТП-498 Клименко,29б</t>
  </si>
  <si>
    <t>Ремонт фасада ТП-604 пр.Кузнецкстроевский,10А</t>
  </si>
  <si>
    <t>Ремонт фасада РП-26 Чернышова,14Б</t>
  </si>
  <si>
    <t>Ремонт фасада РП-39 Звездова,6А</t>
  </si>
  <si>
    <t>Ремонт фасада ТП-3 ул. Орджоникидзе, 26-Б</t>
  </si>
  <si>
    <t>Капитальный ремонт фасада ТП7 ул. Суворова, 7-А</t>
  </si>
  <si>
    <t>Капитальный ремонт фасада ТП15 ул. Кирова, 8-А</t>
  </si>
  <si>
    <t>Капитальный ремонт (замена) дверей в РУ-6 кВ (1,5х2,4) ТП-28</t>
  </si>
  <si>
    <t>Ремонт фасада ТП-29 пр. Металлургов, 46-Б</t>
  </si>
  <si>
    <t>Капитальный ремонт фасада ТП-31 пр. Металлургов, 51-А</t>
  </si>
  <si>
    <t>Капитальный ремонт кровли ТП-31 пр-т Металлургов, 51-А</t>
  </si>
  <si>
    <t>Капитальный ремонт (замена) дверей в РУ-6 кВ (1,5х3,3), РУ-0,4 кВ (1,0х2,5) ТП-32</t>
  </si>
  <si>
    <t>Капитальный ремонт фасада ТП-34 пр. Металлургов, 52-А</t>
  </si>
  <si>
    <t>Капитальный ремонт кровли ТП-34 пр-т Металлургов, 52-А</t>
  </si>
  <si>
    <t>Капитальный ремонт фасада ТП-37, 25 лет Октября, 4-А</t>
  </si>
  <si>
    <t>Капитальный ремонт фасада ТП-49, ул. Энтузиастов, 61-А</t>
  </si>
  <si>
    <t>Капитальный ремонт фасада ТП-50, ул. Энтузиастов, 53-А</t>
  </si>
  <si>
    <t>Капитальный ремонт фасада ТП-53, ул. Энтузиастов, 31-А</t>
  </si>
  <si>
    <t>Капитальный ремонт фасада ТП-55, ул. Энтузиастов, 17-А</t>
  </si>
  <si>
    <t>Замена дверей в ТП-63 (ТМ-1, ТМ-2 2,3х2,2-2шт)</t>
  </si>
  <si>
    <t xml:space="preserve">Капитальный ремонт фасада ТП-74 ул.Строителей,5 корпус6 </t>
  </si>
  <si>
    <t>Капитальный ремонт (замена) кровли ТП-79 ул. Батюшкова, 5 корпус 1</t>
  </si>
  <si>
    <t>Капитальный ремонт (замена) кровли ТП-80 ул. Суворова, 6-А</t>
  </si>
  <si>
    <t>Капитальный ремонт фасада ТП-80, пр. Суворова, 6_А</t>
  </si>
  <si>
    <t>Ремонт фасада ТП-86 пр. Строителей, 44-А</t>
  </si>
  <si>
    <t>Замена двери в РУ-0,4кВ (1,3х2,5) ТП-98</t>
  </si>
  <si>
    <t>Капитальный ремонт фасада ТП-104, пр. Пионерский, 8-А</t>
  </si>
  <si>
    <t>Ремонт фасада ТП-109 пр. Строителей, 75-А</t>
  </si>
  <si>
    <t>Капитальный ремонт фасада ТП-130, пр-д Казарновского, 4-А</t>
  </si>
  <si>
    <t>Капитальный ремонт фасада ТП-133, пр. Бардина, 3-А</t>
  </si>
  <si>
    <t>Капитальный ремонт фасада ТП-134, пр. Бардина, 13-А</t>
  </si>
  <si>
    <t>Капитальный ремонт (замена) дверей в РУ-6 кВ (1,5х2,4) ТП-138</t>
  </si>
  <si>
    <t>Капитальный ремонт фасада ТП-140, пр. Бардина, 34-А</t>
  </si>
  <si>
    <t>Капитальный ремонт фасада ТП-149, пр-т Бардина, 16-Б</t>
  </si>
  <si>
    <t>Замена дверей в ТП-153 (ТМ-1). Ремонт кирпичной кладки</t>
  </si>
  <si>
    <t>Капитальный ремонт ТП-153 устройство бетонных полов</t>
  </si>
  <si>
    <t>Капитальный ремонт (замена) дверей РУ-6 кВ (1,5х2,4), ТМ-1,2 (2,3х2,3-2шт) ТП-160</t>
  </si>
  <si>
    <t>Восстановление пола и восстановление отмостки в ТП-182</t>
  </si>
  <si>
    <t>Капитальный ремонт дверей в ТП-182</t>
  </si>
  <si>
    <t>Капитальный ремонт ТП-187 устройство бетонных полов</t>
  </si>
  <si>
    <t>Замена дверей в ТП-194 РУ-6кВ, РУ-0,4кВ (1,5х2,5-2шт) ТМ1,2</t>
  </si>
  <si>
    <t>Замена дверей в РУ-6кВ (1,5х2,4) ТП-195</t>
  </si>
  <si>
    <t>Ремонт фасада ТП-211, пр. Октябрьский, 31-А</t>
  </si>
  <si>
    <t>Капитальный ремонт (замена) кровли ТП-211 пр. Октябрьский, 31-А</t>
  </si>
  <si>
    <t>Капитальный ремонт (замена) кровли ТП-213 ул. Циолковского, 68-А</t>
  </si>
  <si>
    <t>Замена дверей в ТП-216 (РУ-0,4кВ, ТМ-1, ТМ-2)</t>
  </si>
  <si>
    <t>Капитальный ремонт дверей в ТП-221</t>
  </si>
  <si>
    <t>Замена дверей в ТП-230 РУ-6кВ, (1,5х2,5), РУ-0,4 кВ (1,0х2,6)</t>
  </si>
  <si>
    <t>Замена дверей в ТП-231 в РУ-0,4кв, РУ-6кВ</t>
  </si>
  <si>
    <t>Капитальный ремонт (замена) кровли ТП-234 пр. Октябрьский, 21 корпус 1</t>
  </si>
  <si>
    <t>Замена дверей в ТП-235 (ТМ-2,3х2,3), РУ-0,4кВ (1,0х2,5), РУ-6кВ (1,6х2,3)</t>
  </si>
  <si>
    <t>Капитальный ремонт (замена) кровли ТП-243, пр. Дружбы, 2 корпус 1</t>
  </si>
  <si>
    <t>Капитальный ремонт (замена) дверей в РУ-6кВ (1,5х2,5), ТМ-1,2 (1,8х2,3-2шт) ТП-248</t>
  </si>
  <si>
    <t>Капитальный ремонт (замена) дверей в ТП-249 РУ-6кВ (1,5х2,4)</t>
  </si>
  <si>
    <t>Капитальный ремонт ТП-255 устройство бетонных полов</t>
  </si>
  <si>
    <t>Капитальный ремонт (замена) дверей в РУ-6кВ, РУ-0,4кВ, ТМ-1,2 ТП-259</t>
  </si>
  <si>
    <t>Капитальный ремонт ТП-259 устройство бетонных полов</t>
  </si>
  <si>
    <t>Капитальный ремонт дверей в ТП-261</t>
  </si>
  <si>
    <t>Ремонт фасада ТП-262, ул. Грдины, 19-А</t>
  </si>
  <si>
    <t>Капитальный ремонт (замена) кровли ТП-262 ул. Грдины, 19-А</t>
  </si>
  <si>
    <t>Капитальный ремонт (замена) кровли ТП-263 ул.Транспортная, 121-А</t>
  </si>
  <si>
    <t>Капитальный ремонт (замена) дверей в РУ-6кВ, РУ-0,4кВ, ТМ-1,2 ТП-266</t>
  </si>
  <si>
    <t>Капитальный ремонт ТП-266 в РУ-0,4кВ, РУ-6кВ устройство бетонных полов</t>
  </si>
  <si>
    <t>Капитальный ремонт ТП-267 устройство бетонных полов</t>
  </si>
  <si>
    <t>Капитальный ремонт дверей в ТП-267 (РУ-6 кВ, РУ-0,4 кВ, ТМ-1, ТМ-2)</t>
  </si>
  <si>
    <t>Капитальный ремонт (замена) кровли ТП-267 ул. Транспортная, 123А</t>
  </si>
  <si>
    <t>Замена дверей в ТП-283 (РУ-0,4 кВ, РУ-6 кВ)</t>
  </si>
  <si>
    <t>Капитальный ремонт (замена) кровли ТП-283 пр. Дружбы, 7А</t>
  </si>
  <si>
    <t>Капитальный ремонт (замена) кровли ТП-284 пр. Октябрьский, 85-А</t>
  </si>
  <si>
    <t>Капитальный ремонт (замена) кровли ТП-285 ул. Батюшкова, 16А</t>
  </si>
  <si>
    <t>Капитальный ремонт (замена) дверей в камерах ТМ-1, ТМ-2 (2,3х2,3 - 2шт) ТП-293</t>
  </si>
  <si>
    <t>Капитальный ремонт ТП-294 - устройство бетонных полов</t>
  </si>
  <si>
    <t>Капитальный ремонт ТП-295 в РУ-0,4 кВ, РУ-6 кВ - устройство бетонных полов</t>
  </si>
  <si>
    <t>Капитальный ремонт ТП-301 устройство бетонных полов</t>
  </si>
  <si>
    <t>Капитальный ремонт ТП-305 устройство бетонных полов</t>
  </si>
  <si>
    <t>Капитальный ремонт ТП-355 (устройство бетонных полов)</t>
  </si>
  <si>
    <t>Капитальный ремонт ТП-356 (устройство бетонных полов)</t>
  </si>
  <si>
    <t>Капитальный ремонт ТП-357 (устройство бетонных полов)</t>
  </si>
  <si>
    <t>Капитальный ремонт кровли ТП-364 ул. Ленина, 87-А</t>
  </si>
  <si>
    <t>Капитальный ремонт кровли ТП-365 ул. Петракова, 72-А</t>
  </si>
  <si>
    <t>Капитальный ремонт кровли ТП-374 ул. Обнорского, 1-А</t>
  </si>
  <si>
    <t>Капитальный ремонт кровли ТП-376 ул. Петракова, 66-А</t>
  </si>
  <si>
    <t>Капитальный ремонт кровли ТП-380 ул. Смирного, 11-Б</t>
  </si>
  <si>
    <t>Капитальный ремонт кровли ТП-383 ул. Метелкина, 13-А</t>
  </si>
  <si>
    <t>Капитальный ремонт (замена) кровли ТП-384 ул. Обнорского, 59-А</t>
  </si>
  <si>
    <t>Капитальный ремонт (замена) кровли ТП-392 ул. Левитана, 1 стр. 5</t>
  </si>
  <si>
    <t>Капитальный ремонт ТП-392 (устройство бетонных полов)</t>
  </si>
  <si>
    <t>Капитальный ремонт (замена) кровли ТП-393 ул. Фонвизина, 2-Б</t>
  </si>
  <si>
    <t>Капитальный ремонт ТП-393 (устройство бетонных полов)</t>
  </si>
  <si>
    <t>Капитальный ремонт (замена) кровли ТП-394 пр. Защитный, 20-А</t>
  </si>
  <si>
    <t>Капитальный ремонт ТП-399 Устройство бетонных полов, ремонт кирпичной кладки</t>
  </si>
  <si>
    <t>Замена дверей в камерах ТМ-1, ТМ-2 (1,7х3,0-2шт) ТП-421</t>
  </si>
  <si>
    <t>Замена дверей в камерах ТМ-1, ТМ-2 (1,7х2,8-2шт) ТП-424</t>
  </si>
  <si>
    <t>Замена дверей в камерах ТМ-1, ТМ-2 (1,7х2,7-2шт) в ТП-425</t>
  </si>
  <si>
    <t>Замена дверей в камерах ТМ-1, ТМ-2 (1,5х2,4-2шт) ТП-427</t>
  </si>
  <si>
    <t>Замена дверей в ТП-434 (ТМ-1)</t>
  </si>
  <si>
    <t>Замена дверей в камерах ТМ-1, ТМ-2 (1,7х2,8-2шт) ТП-436</t>
  </si>
  <si>
    <t>Замена дверей в камере ТМ-1 (1,7х2,7-1шт) ТП-437</t>
  </si>
  <si>
    <t>Замена дверей в камерах ТМ-1, ТМ-2 (1,7х2,8-2шт) в ТП-438</t>
  </si>
  <si>
    <t>Замена дверей в камере ТМ-1 (1,7х2,7-1шт) ТП-440</t>
  </si>
  <si>
    <t>Замена дверей в ТП-604 (ТМ-1, ТМ-2)</t>
  </si>
  <si>
    <t>Капитальный ремонт (замена) дверей в РУ-0,4 кВ, РУ-6 кВ (1,5х2,4-2шт) камере ТМ-1 (2,3х2,3) ТП-607</t>
  </si>
  <si>
    <t>Капитальный ремонт (замена) дверей в РУ-6 кВ (1,5х3,3), РУ-0,4 кВ (1,0х2,5) ТП-613</t>
  </si>
  <si>
    <t>Капитальный ремонт (замена) дверей в РУ-0,4 кВ (1,0х2,4), РУ-6 кВ (1,5х3,2) ТП-614</t>
  </si>
  <si>
    <t>Капитальный ремонт (замена) дверей РУ-6 кВ, РУ-0,4 кВ (1,8х2,5-2шт) ТП-615)</t>
  </si>
  <si>
    <t>Капитальный ремонт (замена) дверей в РУ-0,4 кВ (1,5х2,4) ТП-619</t>
  </si>
  <si>
    <t>Капитальный ремонт (замена) дверей в РУ-6 кВ, РУ-0,4 кВ (1,5х2,4-2шт) ТП-623</t>
  </si>
  <si>
    <t>Капитальный ремонт (замена) дверей в РУ-0,4 кВ (1,5х2,4) ТП-624</t>
  </si>
  <si>
    <t>Капитальный ремонт (замена) дверей в РУ-0,4 кВ (1,5х2,4), ТМ-1,2 (2,3х2,3-2шт) ТП-626</t>
  </si>
  <si>
    <t>Капитальный ремонт (замена) кровли ТП-628 ул. Франкфурта, 16 корпус 3</t>
  </si>
  <si>
    <t>Замена дверей в ТП-641 (РУ-0,4 кВ, РУ-6 кВ, ТМ-1, ТМ-2)</t>
  </si>
  <si>
    <t>Капитальный ремонт. Замена ВР-0,4кВ в ТП вКО ЭСР. г.Новокузнецк (ТП-300, 301, 306, 310, 325, 326, 332, 333, 336, 345, 348, 353, 355, 356, 361, 363, 365, 366, 367, 372, 374, 385, 387, 388, 390, 900, 902)</t>
  </si>
  <si>
    <t>Капитальный ремонт. Замена МСР-0,4кВ в ТП в КО ЭСР. г.Новокузнецк  (ТП-300, 301,302, 310, 315, 322, 323, 325, 326, 333, 334, 335, 338, 341, 343, 344, 345, 348, 354, 367, 373, 383, 387, 388, 390, 900, 901, 902, 903, 904, 905, 906, 907, 908, 909, 910, 912, 913, 914, 915, 916, 917)</t>
  </si>
  <si>
    <t>Капитальный ремонт. Замена ВР-0,4кВ в ТП в ЗН ЭСР г.Новокузнецк (ТП-413, 414, 426, 472, 479, 490, 493, 498)</t>
  </si>
  <si>
    <t>Капитальный ремонт. Замена ВР-0,4кВ в ТП в ЦК ЭСР. г. Новокузнецк (ТП-6, 63, 101, 106, 150, 164, 187, 189, 211, 228, 253, 254, 261, 285, 295, 603, 633, 640, 668, 674)</t>
  </si>
  <si>
    <t>Капитальный ремонт. Замена МСР-0,4кВ в ТП в ЦК ЭСР. г.Новокузнецк (ТП-6, 215, 259, 278, 284, 285, 604 )</t>
  </si>
  <si>
    <t>Капитальный ремонт КЛ-6кВ ф.9-667 (ЦРП-1 - ТП-667) Центральный район г. Новокузнецк</t>
  </si>
  <si>
    <t>Капитальный ремонт КЛ-6кВ от ПС №5 "Новая" до ТТП-10, Центральный район г. Новокузнецк</t>
  </si>
  <si>
    <t>Капитальный ремонт КЛ-10кВ ПС-2 - ТП-425, ПС-2 - ЦПР-3, Заводской район г. Новокузнецк</t>
  </si>
  <si>
    <t>Капитальный ремонт ВЛ-10кВ ф.19 - РП-1-1, ф.14 - РП-1-1-2 в Кузнецком районе г. Новокузнецк</t>
  </si>
  <si>
    <t>Ремонт маслоприемников силовых трансформаторов (4 шт) ПС №1 "Центральная"</t>
  </si>
  <si>
    <t>Ремонт маслоприемников силовых трансформаторов (2 шт) ПС №2 "Н. Островского"</t>
  </si>
  <si>
    <t>Ремонт маслоприемников силовых трансформаторов ПС №3 "Южная"</t>
  </si>
  <si>
    <t>Ремонт маслоприемников силовых трансформаторов (2 шт) ПС №5 "Новая"</t>
  </si>
  <si>
    <t>Ремонт маслоприемников силовых трансформаторов (2 шт) ПС №6 "В. Островская"</t>
  </si>
  <si>
    <t>Капитальный ремонт кровли ЦРП-1 ул. Хитарова, 12</t>
  </si>
  <si>
    <t>Восстановление ж/бетонного пола в РП-1</t>
  </si>
  <si>
    <t>Восстановление элементов благоустройства на эл. сетях Центрального и Куйбышевского районов</t>
  </si>
  <si>
    <t>Восстановление элементов благоустройства на эл. сетях Заводского и Новоильинского районов</t>
  </si>
  <si>
    <t>Восстановление элементов благоустройства на эл. Сетях Кузнецкого и Орджоникидзевского районов</t>
  </si>
  <si>
    <t>Капитальный ремонт фасада ТП-16, ул. Энтузиастов, 3-А</t>
  </si>
  <si>
    <t>Капитальный ремонт (замена) кровли ТП-16 ул. Энтузиастов, 3-А</t>
  </si>
  <si>
    <t>Ремонт фасада ТП-21 ул. Рудокопровая, 3 корпус 5</t>
  </si>
  <si>
    <t>Капитальный ремонт кровли Тп-21 ул. Рудокопровая, 30 корпус 5</t>
  </si>
  <si>
    <t>Капитальный ремонт фасада ТП-115 пр. Металлургов, 39-А</t>
  </si>
  <si>
    <t>Капитальный ремонт кровли ТП-115 пр-т Металлургов, 39-А</t>
  </si>
  <si>
    <t>Капитальный ремонт фасада ТП-179 ул. Покрышкина, 18 корпус 1</t>
  </si>
  <si>
    <t>Капитальный ремонт кровли ТП-179 ул. Покрышкина, 18 корпус 1</t>
  </si>
  <si>
    <t>Капитальный ремонт фасада ТП-189 ул. Кузнецова, 17-А</t>
  </si>
  <si>
    <t>Капитальный ремонт (замена) кровли ТП-189 ул. Кузнецова, 17-А</t>
  </si>
  <si>
    <t>Ремонт фасада ТП-214 пр. Октябрьский, 35-А</t>
  </si>
  <si>
    <t>Капитальный ремонт (замена) кровли ТП-214 пр. Октябрьский, 35-А</t>
  </si>
  <si>
    <t>Ремонт фасада ТП-246 ул. Тольятти, 30-А корпус 2</t>
  </si>
  <si>
    <t>Капитальный ремонт (замена) кровли ТП-246 ул. Тольятти, 30-А корпус 2</t>
  </si>
  <si>
    <t>Капитальный ремонт силового трансформатора ТМ-400кВА в ТП-248 г. Новокузнецк</t>
  </si>
  <si>
    <t>Капитальный ремонт фасада ТП-258 ул. Грдины, 10 корпус 1</t>
  </si>
  <si>
    <t>Капитальный ремонт (замена) кровли ТП-258 ул. Грдины, 10 корпус 1</t>
  </si>
  <si>
    <t>Капитальный ремонт (замена) кровли ТП-265 ул. Грдины, 28-А</t>
  </si>
  <si>
    <t>Капитальный ремонт силового трансформатора ТМ-320кВа в ТП-268 г. Новокузнецк</t>
  </si>
  <si>
    <t>Капитальный ремонт силового трансформатора ТМ-630кВа в ТП-315 г. Новокузнецк</t>
  </si>
  <si>
    <t>Ремонт фасада ТП-326 ул. Олеко Дуднича, 15 п. Притомский</t>
  </si>
  <si>
    <t>Капитальный ремонт силового трансформатора ТМ-630кВА в ТП-343 г. Новокузнецк</t>
  </si>
  <si>
    <t>Капитальный ремонт силового трансформатора ТМ-400кВА в ТП-362 г. Новокузнецк</t>
  </si>
  <si>
    <t>Капитальный ремонт кровли ТП-406 ул. Горьковская, 33-А</t>
  </si>
  <si>
    <t>Капитальный ремонт кровли ТП-409 ул. Горьковская, 23-А</t>
  </si>
  <si>
    <t>Капитальный ремонт кровли ТП-416 ул. Ярославская, 15 корпус 7</t>
  </si>
  <si>
    <t>Капитальный ремонт кровли ТП-459 ул. 13-й Микрорайон, 3-А</t>
  </si>
  <si>
    <t>Капитальный ремонт кровли ТП-465 ул. Клименко, 32-А</t>
  </si>
  <si>
    <t>Капитальный ремонт кровли ТП-477 ул. Тореза, 68-А</t>
  </si>
  <si>
    <t>Капитальный ремонт кровли ТП-488 пр. Советской Армии, 59-А</t>
  </si>
  <si>
    <t>Капитальный ремонт силового трансформатора ТМ-180кВА в ТП-504 г. Новокузнецк</t>
  </si>
  <si>
    <t>Капитальный ремонт (замена) кровли ТП-803 ул. Авиаторов, 92-А</t>
  </si>
  <si>
    <t>Капитальный ремонт силового трансформатора ТМ-630кВа в ТП-814 г. Новокузнецк</t>
  </si>
  <si>
    <t>Капитальный ремонт силового трансформатора ТМ-630кВа в ТП-815 г. Новокузнецк</t>
  </si>
  <si>
    <t>Капитальный ремонт кровли ТП-817 ул. Новоселов, 43-А</t>
  </si>
  <si>
    <t>Капитальный ремонт кровли ТП-819 ул. Новоселов, 65-А</t>
  </si>
  <si>
    <t>Капитальный ремонт кровли ТП-854 пр. Космонавтов, 6-А</t>
  </si>
  <si>
    <t>Капитальный ремонт кровли ТП-820 пр. Авиаторов, 126-А</t>
  </si>
  <si>
    <t>Ремонт фасада ТП-820</t>
  </si>
  <si>
    <t>Капитальный ремонт силового трансформатора ТМ-630кВа в ТП-915 г. Новокузнецк</t>
  </si>
  <si>
    <t>Капитальный ремонт. Ремонт масляного выключателя ВМД-35 г. Новокузнецк</t>
  </si>
  <si>
    <t>Капитальный ремонт ЦРП-2 ул. Бугарева, 30</t>
  </si>
  <si>
    <t>КР</t>
  </si>
  <si>
    <t>Капитальный ремонт трансформатора ТРДНС 25000кВА на ПС №5 "Новая" г. Новокузнецк</t>
  </si>
  <si>
    <t>Восстановление элементов благоустройства после проведения ремонта на электрических сетях Центального и Куйбышевского районов</t>
  </si>
  <si>
    <t>Ремонт системы АИИСКУЭ в ЦК ЭСР (частный сектор)</t>
  </si>
  <si>
    <t>Ремонт помещений №207 АБК ул. Орджоникидзе, 12</t>
  </si>
  <si>
    <t>Ремонт помещений ОДС 3 этаж АБК ул. Орджоникидзе, 12</t>
  </si>
  <si>
    <t xml:space="preserve">Капитальный ремонт трансформатора 160/6кВ в ТП-321 </t>
  </si>
  <si>
    <t xml:space="preserve">Капитальный ремонт трансформатора 100/6кВ в ТП-321 </t>
  </si>
  <si>
    <t>Капитальный ремонт трансформатора ТМ-560/6кВ в ТП-509</t>
  </si>
  <si>
    <t>Капитальный ремонт трансформатора 200/6кВ в ТП-429</t>
  </si>
  <si>
    <t>Капитальный ремонт трансформатора 250/6кВ в РП-16</t>
  </si>
  <si>
    <t>Капитальный ремонт трансформатора 250/6кВ в ТП-481</t>
  </si>
  <si>
    <t>Капитальный ремонт трансформатора 250/6кВ в ТП-117</t>
  </si>
  <si>
    <t>Капитальный ремонт трансформатора 250/6кВ в ТП-107</t>
  </si>
  <si>
    <t>Капитальный ремонт трансформатора 250/6кВ в ТП-429</t>
  </si>
  <si>
    <t>Капитальный ремонт трансформатора 400/6кВ в ТП-457</t>
  </si>
  <si>
    <t>Капитальный ремонт трансформатора 400/6кВ в ТП-150</t>
  </si>
  <si>
    <t>Капитальный ремонт трансформатора 400/6кВ в ТП-27</t>
  </si>
  <si>
    <t>Капитальный ремонт трансформатора 400/6кВ в ТП-199</t>
  </si>
  <si>
    <t>Капитальный ремонт трансформатора 400/6кВ в ТП-438</t>
  </si>
  <si>
    <t>Капитальный ремонт трансформатора 400/6кВ в ТП-289</t>
  </si>
  <si>
    <t>Капитальный ремонт трансформатора 400/6кВ в ТП-487</t>
  </si>
  <si>
    <t>Капитальный ремонт трансформатора 400/6кВ в ТП-432</t>
  </si>
  <si>
    <t>Капитальный ремонт трансформатора 400/6кВ в ТП-275</t>
  </si>
  <si>
    <t>Капитальный ремонт трансформатора 400/6кВ в ТП-474</t>
  </si>
  <si>
    <t>Капитальный ремонт трансформатора 400/6кВ в ТП-476</t>
  </si>
  <si>
    <t>Капитальный ремонт трансформатора 400/6кВ в ТП-478</t>
  </si>
  <si>
    <t>Капитальный ремонт трансформатора 400/6кВ в ТП-656</t>
  </si>
  <si>
    <t>Капитальный ремонт трансформатора 400/6кВ в ТП-322</t>
  </si>
  <si>
    <t>Капитальный ремонт трансформатора 400/6кВ в ТП-220</t>
  </si>
  <si>
    <t>Капитальный ремонт трансформатора 400/6кВ в ТП-406</t>
  </si>
  <si>
    <t>Капитальный ремонт трансформатора 400/6кВ в ТП-692</t>
  </si>
  <si>
    <t>Капитальный ремонт трансформатора 400/6кВ в ТП-323</t>
  </si>
  <si>
    <t>Капитальный ремонт трансформатора 400/6кВ в ТП-421</t>
  </si>
  <si>
    <t>Капитальный ремонт трансформатора 400/6кВ в ТП-284</t>
  </si>
  <si>
    <t>Капитальный ремонт трансформатора 400/6кВ в ТП-626</t>
  </si>
  <si>
    <t>Капитальный ремонт трансформатора 320/10кВ в ТП-336</t>
  </si>
  <si>
    <t>Капитальный ремонт трансформатора 400/6кВ в ТП-200</t>
  </si>
  <si>
    <t>Капитальный ремонт трансформатора 400/6кВ в ТП-466</t>
  </si>
  <si>
    <t>Капитальный ремонт трансформатора 320/6кВ в ТП-215</t>
  </si>
  <si>
    <t>Капитальный ремонт трансформатора 320/6кВ в ТП-188</t>
  </si>
  <si>
    <t>Капитальный ремонт трансформатора 320/6кВ в ТП-444</t>
  </si>
  <si>
    <t>Капитальный ремонт трансформатора 630/6кВ в ТП-474</t>
  </si>
  <si>
    <t>Капитальный ремонт трансформатора 630/10кВ в ТП-866</t>
  </si>
  <si>
    <t>Капитальный ремонт трансформатора 630/10кВ в ТП-345</t>
  </si>
  <si>
    <t>Капитальный ремонт трансформатора 630/10кВ в ТП-608</t>
  </si>
  <si>
    <t>Капитальный ремонт трансформатора 630/6кВ в ТП-813</t>
  </si>
  <si>
    <t>Капитальный ремонт двух трансформаторов 2ТМ 400/6кВ в ТП-622</t>
  </si>
  <si>
    <t>Капитальный ремонт двух трансформаторов 2ТМ 400/6кВ в ТП-472</t>
  </si>
  <si>
    <t>Капитальный ремонт двух трансформаторов 2ТМ 400/10кВ в ТП-834</t>
  </si>
  <si>
    <t>Капитальный ремонт двух трансформаторов 2ТМ 400/6кВ в ТП-600</t>
  </si>
  <si>
    <t>Капитальный ремонт двух трансформаторов 2ТМ 400/6кВ в ТП-657</t>
  </si>
  <si>
    <t>Капитальный ремонт трансформатора 180/6кВ в ТП-424</t>
  </si>
  <si>
    <t>Капитальный ремонт трансформатора 180/10кВ в ТП-501</t>
  </si>
  <si>
    <t>Капитальный ремонт тр-ра 400/10кВ в МТП-513</t>
  </si>
  <si>
    <t>Капитальный ремонт тр-ра 320/10кВ в ТП-391</t>
  </si>
  <si>
    <t>Капитальный ремонт тр-ра 400/10кВ в ТП-340</t>
  </si>
  <si>
    <t>Капитальный ремонт тр-ра 315/6кВ в ТП-407</t>
  </si>
  <si>
    <t>Капитальный ремонт тр-ра 200/6кВ в ТП-400</t>
  </si>
  <si>
    <t>Капитальный ремонт тр-ра 400/10кВ в ТП-300</t>
  </si>
  <si>
    <t>Капитальный ремонт тр-ра 100/6кВ в МТП-270</t>
  </si>
  <si>
    <t>Капитальный ремонт тр-ра ТМ-630/10кВ в ТП-357</t>
  </si>
  <si>
    <t>Капитальный ремонт тр-ра 400/10кВ в ТП-374</t>
  </si>
  <si>
    <t>Капитальный ремонт тр-ра 250/10кВ в МТП-339</t>
  </si>
  <si>
    <t>Капитальный ремонт тр-ра 400/6кВ в РП-14</t>
  </si>
  <si>
    <t xml:space="preserve">Утвержденный РЭК на 2016 год объем ремфонда, руб. (без НДС) </t>
  </si>
  <si>
    <t>Ремонт помещений  АБК ул.Бугарева,30</t>
  </si>
  <si>
    <t xml:space="preserve">Ремонт помещения  №9 ОДС АБК-2 ул.Орджоникидзе,12 </t>
  </si>
  <si>
    <t>Капитальный ремонт освещения гаражных боксов по адресу пр.Пионерский,42. Центральный район, г.Новокузнецк</t>
  </si>
  <si>
    <t>Капитальный ремонт наружного освещения по адресу ул.Орджоникидзе, 12. Центральный район, г.Новокузнецк</t>
  </si>
  <si>
    <t>АБК-1, АБК-2, маслохозяйство (ремонт системы отопления и водоснабжения)</t>
  </si>
  <si>
    <t>Ремонт помещений АБК-1 ул.Орджоникидзе,12</t>
  </si>
  <si>
    <t>Ремонт  АБК ул.Орджоникидзе,12</t>
  </si>
  <si>
    <t>Ремонт ИТП ул.Бугарева,30</t>
  </si>
  <si>
    <t>Капитальный ремонт помещений ОДС ул.Орджоникидзе,12</t>
  </si>
  <si>
    <t>Ремонт системы водоснабжения АБК пр.Пионерский,42</t>
  </si>
  <si>
    <t>Ремонт теплового узла в гараже пр.Пионерский, 42</t>
  </si>
  <si>
    <t>Капитальный ремонт АБК-1 ул.Орджоникидзе,12 (замена трубы ХВС)</t>
  </si>
  <si>
    <t>Капитальный ремонт наружного освещения здания по адресу пр. Пионерский, 42</t>
  </si>
  <si>
    <t>Новация ООО</t>
  </si>
  <si>
    <t>Восстановление благоустройства после ремонтов на эл. сетях Заводского и Новоильинского районов</t>
  </si>
  <si>
    <t>Восстановление благоустройства после ремонтов на эл. сетях Центрального района</t>
  </si>
  <si>
    <t>Восстановление благоустройства после ремонтов на эл. сетях Центрального и Куйбышевского района</t>
  </si>
  <si>
    <t>Утвержденный РЭК на 2016 год объем ремфонда, руб. (без НДС)</t>
  </si>
  <si>
    <t>92 м2</t>
  </si>
  <si>
    <t>108,5 м2</t>
  </si>
  <si>
    <t>110 м2</t>
  </si>
  <si>
    <t>138,5 м2</t>
  </si>
  <si>
    <t>146,7 м2</t>
  </si>
  <si>
    <t>101,1 м2</t>
  </si>
  <si>
    <t>128,23 м2</t>
  </si>
  <si>
    <t>1 шт</t>
  </si>
  <si>
    <t>148,96 м2</t>
  </si>
  <si>
    <t>102,46 м2</t>
  </si>
  <si>
    <t>2 шт</t>
  </si>
  <si>
    <t>109,42 м2</t>
  </si>
  <si>
    <t>99,64 м2</t>
  </si>
  <si>
    <t>88,94 м2</t>
  </si>
  <si>
    <t>70,04 м2</t>
  </si>
  <si>
    <t>71,62 м2</t>
  </si>
  <si>
    <t>124,7 м2</t>
  </si>
  <si>
    <t>131,14 м2</t>
  </si>
  <si>
    <t>138,92 м2</t>
  </si>
  <si>
    <t>1 шт.</t>
  </si>
  <si>
    <t>125,78 м2</t>
  </si>
  <si>
    <t>100,90 м2</t>
  </si>
  <si>
    <t>88,03 м2</t>
  </si>
  <si>
    <t>81,40 м2</t>
  </si>
  <si>
    <t>70,91 м2</t>
  </si>
  <si>
    <t>105,38 м2</t>
  </si>
  <si>
    <t>93,30 м2</t>
  </si>
  <si>
    <t>4,6 м2</t>
  </si>
  <si>
    <t>3 шт</t>
  </si>
  <si>
    <t>20,3 м2</t>
  </si>
  <si>
    <t>4,5 м2</t>
  </si>
  <si>
    <t>4 шт</t>
  </si>
  <si>
    <t>84,53 м2</t>
  </si>
  <si>
    <t>24 м2</t>
  </si>
  <si>
    <t>17 м2</t>
  </si>
  <si>
    <t>21 м2</t>
  </si>
  <si>
    <t>16,5 м2</t>
  </si>
  <si>
    <t>9 м2</t>
  </si>
  <si>
    <t>8 м2</t>
  </si>
  <si>
    <t>12 м2</t>
  </si>
  <si>
    <t>14 м2</t>
  </si>
  <si>
    <t>7 м2, 4,5 м2</t>
  </si>
  <si>
    <t>Замена дверей в ТП-434 (ТМ-1, ТМ-2)</t>
  </si>
  <si>
    <t>Капитальный ремонт. Замена ВР-0,4кВ в ТП в КО ЭСР. г.Новокузнецк (ТП-300, 301, 306, 310, 325, 326, 332, 333, 336, 345, 348, 353, 355, 356, 361, 363, 365, 366, 367, 372, 374, 385, 387, 388, 390, 900, 902)</t>
  </si>
  <si>
    <t>27 шт.</t>
  </si>
  <si>
    <t>42 шт</t>
  </si>
  <si>
    <t>8 шт</t>
  </si>
  <si>
    <t>20 шт</t>
  </si>
  <si>
    <t>7 шт.</t>
  </si>
  <si>
    <t>0,5 км</t>
  </si>
  <si>
    <t>0,68 км * 4 н</t>
  </si>
  <si>
    <t>0,165 км * 5 н</t>
  </si>
  <si>
    <t>2 шт.</t>
  </si>
  <si>
    <t>4 шт.</t>
  </si>
  <si>
    <t>38 м2</t>
  </si>
  <si>
    <t>171 м2, 456 м</t>
  </si>
  <si>
    <t>117,84 м2</t>
  </si>
  <si>
    <t>20 м2</t>
  </si>
  <si>
    <t>122,45 м2</t>
  </si>
  <si>
    <t>84,6 м2</t>
  </si>
  <si>
    <t>92,88 м2</t>
  </si>
  <si>
    <t>106,98 м2</t>
  </si>
  <si>
    <t>76,43 м2</t>
  </si>
  <si>
    <t>91,4 м2</t>
  </si>
  <si>
    <t>99,5 м2</t>
  </si>
  <si>
    <t>116,91 м2</t>
  </si>
  <si>
    <t>120 м2</t>
  </si>
  <si>
    <t>1шт</t>
  </si>
  <si>
    <t>132 м2</t>
  </si>
  <si>
    <t>551 м2, 1899 м2</t>
  </si>
  <si>
    <t>100 шт</t>
  </si>
  <si>
    <t xml:space="preserve"> 1 шт</t>
  </si>
  <si>
    <t>15 шт</t>
  </si>
  <si>
    <t>13 шт</t>
  </si>
  <si>
    <t>5-119э/16 от 30.12.2016</t>
  </si>
  <si>
    <t>5-114э/16 от 30.12.2016</t>
  </si>
  <si>
    <t>5-122э/16 от 30.12.2016</t>
  </si>
  <si>
    <t>5-124э/16 от 30.12.2016</t>
  </si>
  <si>
    <t>5-115э/16 от 30.12.2016</t>
  </si>
  <si>
    <t>5-113э/16 от 30.12.2016</t>
  </si>
  <si>
    <t>5-125э/16 от 30.12.2016</t>
  </si>
  <si>
    <t>5-126э/16 от 30.12.2016</t>
  </si>
  <si>
    <t>5-116э/16 от 30.12.2016</t>
  </si>
  <si>
    <t>5-87э/16 от 30.12.2016</t>
  </si>
  <si>
    <t>5-303 А/15 от 30.12.2016</t>
  </si>
  <si>
    <t>1710/16доп от 30.12.2016</t>
  </si>
  <si>
    <t>14-1э/16 от 30.12.2016</t>
  </si>
  <si>
    <t>1710э/16 от 30.12.2016</t>
  </si>
  <si>
    <t>5-305/15 от 30.12.2016</t>
  </si>
  <si>
    <t>5-306/15 от 30.12.2016</t>
  </si>
  <si>
    <t>5-303/15 от 30.12.2016</t>
  </si>
  <si>
    <t>5-308/15 от 30.12.2016</t>
  </si>
  <si>
    <t>5-307/15 от 30.12.2016</t>
  </si>
  <si>
    <t>5-188/16 от 30.09.2016</t>
  </si>
  <si>
    <t>5-187/16 от 30.09.2016</t>
  </si>
  <si>
    <t>5-184а/16 от 30.09.2016</t>
  </si>
  <si>
    <t>5-184/16-1 от 30.09.2016</t>
  </si>
  <si>
    <t>5-186/16 от 30.09.2016</t>
  </si>
  <si>
    <t>5-185/16 от 30.09.2016</t>
  </si>
  <si>
    <t>5-184/16 от 30.09.2016</t>
  </si>
  <si>
    <t>5-191/16 от 31.12.2016</t>
  </si>
  <si>
    <t>5-54/16 от 31.10.2016</t>
  </si>
  <si>
    <t>5-192/16 от 31.10.2016</t>
  </si>
  <si>
    <t>5-194а/16 от 31.10.2016</t>
  </si>
  <si>
    <t>5-194/16 от 31.10.2016</t>
  </si>
  <si>
    <t>5-189/16 от 31.10.2016</t>
  </si>
  <si>
    <t>5-304/16 от 30.11.2016</t>
  </si>
  <si>
    <t>5-190/16 от 30.11.2016</t>
  </si>
  <si>
    <t>5-222/16 от 30.12.2016</t>
  </si>
  <si>
    <t>5-309/15 от 31.10.2016</t>
  </si>
  <si>
    <t>5-223/15 от 30.12.2016</t>
  </si>
  <si>
    <t>5-53/16 от 31.10.2016</t>
  </si>
  <si>
    <t>3-52/16 от 31.10.2016</t>
  </si>
  <si>
    <t>5-51/16 от 31.140.2016</t>
  </si>
  <si>
    <t>5-110/16 от 30.12.2016</t>
  </si>
  <si>
    <t>5-140/16 от 30.10.2016</t>
  </si>
  <si>
    <t>3-141/16 от 30.10.2016</t>
  </si>
  <si>
    <t>5-139/16 от 30.10.2016</t>
  </si>
  <si>
    <t>5-269/15 от 30.12.2016</t>
  </si>
  <si>
    <t>5-266/15 от 30.12.2016</t>
  </si>
  <si>
    <t>5-278/15 от 30.12.2016</t>
  </si>
  <si>
    <t>5-280/15 от 30.12.2016</t>
  </si>
  <si>
    <t>5-268/15 от 30.12.2016</t>
  </si>
  <si>
    <t>5-291/15 от 30.12.2016</t>
  </si>
  <si>
    <t>5-260/15 от 30.12.2016</t>
  </si>
  <si>
    <t>5-28415 от 30.12.2016</t>
  </si>
  <si>
    <t>5-279/15 от 30.12.2016</t>
  </si>
  <si>
    <t>5-277/15 от 30.12.2016</t>
  </si>
  <si>
    <t>5-281/15 от 30.12.2016</t>
  </si>
  <si>
    <t>5-282/15 от 30.12.2016</t>
  </si>
  <si>
    <t>5-359/15 от 30.12.2016</t>
  </si>
  <si>
    <t>5-291-А/15 от 30.12.2016</t>
  </si>
  <si>
    <t>5-348/15 от 31.12.2016</t>
  </si>
  <si>
    <t>5-275/15 от 30.12.2016</t>
  </si>
  <si>
    <t>5-274/15 от 30.12.2016</t>
  </si>
  <si>
    <t>5-273/15 от 30.12.2016</t>
  </si>
  <si>
    <t>5-285/15 от 30.12.2016</t>
  </si>
  <si>
    <t>5-259/15 от 30.12.2016</t>
  </si>
  <si>
    <t>5-283/15 от 30.12.2016</t>
  </si>
  <si>
    <t>5-287/15 от 30.12.2016</t>
  </si>
  <si>
    <t>5-272/15 от 30.12.2016</t>
  </si>
  <si>
    <t>5-358/15 от 30.12.2016</t>
  </si>
  <si>
    <t>5-357/15 от 30.12.2016</t>
  </si>
  <si>
    <t>5-356/15 от 30.12.2016</t>
  </si>
  <si>
    <t>5-355/15 от 30.12.2016</t>
  </si>
  <si>
    <t>5-350/15 от 30.12.2016</t>
  </si>
  <si>
    <t>5-352/15 от 30.12.2016</t>
  </si>
  <si>
    <t>5-354/15 от 30.12.2016</t>
  </si>
  <si>
    <t>5-349/15 от 30.12.2016</t>
  </si>
  <si>
    <t>5-353/15 от 30.12.2016</t>
  </si>
  <si>
    <t>5-288/15 от 30.12.2016</t>
  </si>
  <si>
    <t>5-263/15 от 30.12.2016</t>
  </si>
  <si>
    <t>5-262/15 от 30.12.2016</t>
  </si>
  <si>
    <t>5-271/15 от 30.12.2016</t>
  </si>
  <si>
    <t>5-276/15 от 30.12.2016</t>
  </si>
  <si>
    <t>5-161/15 от 30.12.2016</t>
  </si>
  <si>
    <t>5-267/15 от 30.12.2016</t>
  </si>
  <si>
    <t>5-265/15 от 30.12.2016</t>
  </si>
  <si>
    <t>5-264/15 от 30.12.2016</t>
  </si>
  <si>
    <t>5-286/15 от 30.12.2016</t>
  </si>
  <si>
    <t>5-117э/16 от 30.12.2016</t>
  </si>
  <si>
    <t>5-36э/16 от 31.10.2016</t>
  </si>
  <si>
    <t>5-38э/16 от 31.10.2016</t>
  </si>
  <si>
    <t>5-35э/16 от 30.11.2016</t>
  </si>
  <si>
    <t>5-7э/16 от 30.11.2016</t>
  </si>
  <si>
    <t>5-33э/16 от 30.11.2016</t>
  </si>
  <si>
    <t>3-34э/16 от 30.11.2016</t>
  </si>
  <si>
    <t>5-37э/16 от 30.12.2016</t>
  </si>
  <si>
    <t>3-9э/16 от 30.12.2016</t>
  </si>
  <si>
    <t>5-44э/16 от 30.12.2016</t>
  </si>
  <si>
    <t>-</t>
  </si>
  <si>
    <t>3-23/16 от 10.06.2016</t>
  </si>
  <si>
    <t>3-19/16 от 10.06.2016</t>
  </si>
  <si>
    <t>5-14/16 от 10.06.2016</t>
  </si>
  <si>
    <t>5-24/16 от 10.06.2016</t>
  </si>
  <si>
    <t>4-18/16 от 10.06.2016</t>
  </si>
  <si>
    <t>3-15/16 от 10.06.2016</t>
  </si>
  <si>
    <t>3-16/16 от 10.06.2016</t>
  </si>
  <si>
    <t>3-17/16 от 10.06.2016</t>
  </si>
  <si>
    <t>5-214/15 от 30.12.2016</t>
  </si>
  <si>
    <t>5-202/15 от 30.12.2016</t>
  </si>
  <si>
    <t>5-194/15 от 30.12.2016</t>
  </si>
  <si>
    <t>5-213/15 от 30.12.2016</t>
  </si>
  <si>
    <t>5-298/15 от 30.12.2016</t>
  </si>
  <si>
    <t>5-300/15 от 30.12.2016</t>
  </si>
  <si>
    <t>5-201/15 от 30.12.2016</t>
  </si>
  <si>
    <t>5-196/15 от 30.12.2016</t>
  </si>
  <si>
    <t>5-197/15 от 30.12.2016</t>
  </si>
  <si>
    <t>5-251/15 от 30.12.2016</t>
  </si>
  <si>
    <t>5-205/15 от 30.12.2016</t>
  </si>
  <si>
    <t>5-217/15 от 30.12.2016</t>
  </si>
  <si>
    <t>5-246/15 от 30.12.2016</t>
  </si>
  <si>
    <t>5-219/15 от 30.12.2016</t>
  </si>
  <si>
    <t>5-245/15 от 30.12.2016</t>
  </si>
  <si>
    <t>5-254/15 от 30.12.2016</t>
  </si>
  <si>
    <t>5-255/15 от 30.12.2016</t>
  </si>
  <si>
    <t>5-249/15 от 30.12.2016</t>
  </si>
  <si>
    <t>5-243/15 от 30.12.2016</t>
  </si>
  <si>
    <t>5-234/15 от 30.12.2016</t>
  </si>
  <si>
    <t>5-208/15 от 30.12.2016</t>
  </si>
  <si>
    <t>5-248/15 от 30.12.2016</t>
  </si>
  <si>
    <t>5-203/15 от 30.12.2016</t>
  </si>
  <si>
    <t>5-302/15 от 30.12.2016</t>
  </si>
  <si>
    <t>5-301/15 от 30.12.2016</t>
  </si>
  <si>
    <t>5-236/15 от 30.12.2016</t>
  </si>
  <si>
    <t>5-235/15 от 30.12.2016</t>
  </si>
  <si>
    <t>5-206/15 от 30.12.2016</t>
  </si>
  <si>
    <t>5-258/15 от 30.12.2016</t>
  </si>
  <si>
    <t>5-12/16 от 30.12.2016</t>
  </si>
  <si>
    <t>5-220/15 от 30.12.2016</t>
  </si>
  <si>
    <t>5-82,/16 от 30.12.2016</t>
  </si>
  <si>
    <t>5-21-А/16 от 30.12.2016</t>
  </si>
  <si>
    <t>5-23-А/16 от 30.12.2016</t>
  </si>
  <si>
    <t>5-2-А/16 от 30.12.2016</t>
  </si>
  <si>
    <t>5-70-А/16 от 30.12.2016</t>
  </si>
  <si>
    <t>5-48-А/16 от 30.12.2016</t>
  </si>
  <si>
    <t>5-111-А/16 от 30.12.2016</t>
  </si>
  <si>
    <t>5-34-А/16 от 30.12.2016</t>
  </si>
  <si>
    <t>5-40-А/16 от 30.12.2016</t>
  </si>
  <si>
    <t>5-40э/1-16 от 30.12.2016</t>
  </si>
  <si>
    <t>5-462э/16 от 30.12.2016</t>
  </si>
  <si>
    <t>5-39э/1-16 от 30.12.2016</t>
  </si>
  <si>
    <t>5-1/17 от 30.12.2016</t>
  </si>
  <si>
    <t>5-46/16 от 30.11.2016</t>
  </si>
  <si>
    <t>5-47/16 от 30.11.2016</t>
  </si>
  <si>
    <t>5-49/16 от 30.12.2016</t>
  </si>
  <si>
    <t>5-43/16 от 30.12.2016</t>
  </si>
  <si>
    <t>5-44/16 от 30.12.2016</t>
  </si>
  <si>
    <t>5-59/16 от 30.12.2016</t>
  </si>
  <si>
    <t>5-60/16 от 30.12.2016</t>
  </si>
  <si>
    <t>5-55/16 от 30.12.2016</t>
  </si>
  <si>
    <t>5-56/16 от 30.12.2016</t>
  </si>
  <si>
    <t>5-62/16 от 30.12.2016</t>
  </si>
  <si>
    <t>5-70/16 от 30.12.2016</t>
  </si>
  <si>
    <t>5-96/16 от 30.12.2016</t>
  </si>
  <si>
    <t>5-33/16 от 30.12.2016</t>
  </si>
  <si>
    <t>5-87/16 от 30.12.2016</t>
  </si>
  <si>
    <t>5-88/16 от 30.12.2016</t>
  </si>
  <si>
    <t>5-58/16 от 30.12.2016</t>
  </si>
  <si>
    <t>5-57/16 от 30.12.2016</t>
  </si>
  <si>
    <t>5-65/16 от 30.12.2016</t>
  </si>
  <si>
    <t>5-64/16 от 30.12.2016</t>
  </si>
  <si>
    <t>5-63/16 от 30.12.2016</t>
  </si>
  <si>
    <t>3-115/16 от 30.12.2016</t>
  </si>
  <si>
    <t>3-114/16 от 30.12.2016</t>
  </si>
  <si>
    <t>5-118/16 от 30.12.2016</t>
  </si>
  <si>
    <t>3-124/16 от 30.12.2016</t>
  </si>
  <si>
    <t>3-119/16 от 30.12.2016</t>
  </si>
  <si>
    <t>3-120/16 от 30.12.2016</t>
  </si>
  <si>
    <t>3-121/16 от 30.12.2016</t>
  </si>
  <si>
    <t>5-48/16 от 30.12.2016</t>
  </si>
  <si>
    <t>5-41/16 от 30.12.2016</t>
  </si>
  <si>
    <t>5-50/16 от 30.12.2016</t>
  </si>
  <si>
    <t>5-42/16 от 30.12.2016</t>
  </si>
  <si>
    <t>5-45/16 от 30.12.2016</t>
  </si>
  <si>
    <t>5-32/16 от 30.12.2016</t>
  </si>
  <si>
    <t>5-32-А/16 от 30.12.2016</t>
  </si>
  <si>
    <t>5-28/16 от 30.12.2016</t>
  </si>
  <si>
    <t>5-29/16 от 30.12.2016</t>
  </si>
  <si>
    <t>5-27/16 от 30.12.2016</t>
  </si>
  <si>
    <t>5-37/16 от 30.12.2016</t>
  </si>
  <si>
    <t>5-36/16 от 30.12.2016</t>
  </si>
  <si>
    <t>5-38/16 от 30.12.2016</t>
  </si>
  <si>
    <t>5-40/16 от 30.12.2016</t>
  </si>
  <si>
    <t>5-39/16 от 30.12.2016</t>
  </si>
  <si>
    <t>5-107/16 от 30.12.2016</t>
  </si>
  <si>
    <t>4-122/16 от 30.12.2016</t>
  </si>
  <si>
    <t>4-123/16 от 30.12.2016</t>
  </si>
  <si>
    <t>4-126/16 от 30.12.2016</t>
  </si>
  <si>
    <t>4-125/16 от 30.12.2016</t>
  </si>
  <si>
    <t>290-ТМ/16 от 23.12.2016</t>
  </si>
  <si>
    <t>291-ТМ/16 от 23.12.216</t>
  </si>
  <si>
    <t>292-ТМ/16 от 23.12.216</t>
  </si>
  <si>
    <t>293-ТМ/16 от 23.12.2016</t>
  </si>
  <si>
    <t>294-ТМ/16 от 23.12.216</t>
  </si>
  <si>
    <t>295-ТМ/16 от 23.12.2016</t>
  </si>
  <si>
    <t>297-ТМ/16 от 23.12.216</t>
  </si>
  <si>
    <t>298-ТМ/16 от 23.12.2015</t>
  </si>
  <si>
    <t>299-ТМ/16 от 23.12.2016</t>
  </si>
  <si>
    <t>300-ТМ/16 от 23.12.2016</t>
  </si>
  <si>
    <t>301-ТМ/16 от 23.12.2016</t>
  </si>
  <si>
    <t>302-ТМ/16 от 23.12.2016</t>
  </si>
  <si>
    <t>303-ТМ/16 от 23.12.216</t>
  </si>
  <si>
    <t>304-ТМ/16 от 23.12.2016</t>
  </si>
  <si>
    <t>305-ТМ/16 от 23.12.2016</t>
  </si>
  <si>
    <t>306-ТМ/16 от 23.12.2016</t>
  </si>
  <si>
    <t>307-ТМ/16 от 23.12.2016</t>
  </si>
  <si>
    <t>308-ТМ/16 от 23.12.2016</t>
  </si>
  <si>
    <t>309-ТМ/16 от 23.12.2016</t>
  </si>
  <si>
    <t>310-ТМ/16 от 23.12.2016</t>
  </si>
  <si>
    <t>312-ТМ/16 от 23.12.2016</t>
  </si>
  <si>
    <t>313-ТМ/16 от 23.12.2016</t>
  </si>
  <si>
    <t>318-ТМ/16 от 23.12.2016</t>
  </si>
  <si>
    <t>320-ТМ/16 от 23.12.2016</t>
  </si>
  <si>
    <t>321-ТМ/16 от 23.12.2016</t>
  </si>
  <si>
    <t>322-ТМ/16 от 23.12.2016</t>
  </si>
  <si>
    <t>323-ТМ/16 от 23.12.2016</t>
  </si>
  <si>
    <t>324-ТМ/16 от 23.12.2016</t>
  </si>
  <si>
    <t>325-ТМ/16 от 23.12.2016</t>
  </si>
  <si>
    <t>326-ТМ/16 от 23.12.2016</t>
  </si>
  <si>
    <t>329-ТМ/16 от 23.12.216</t>
  </si>
  <si>
    <t>331-ТМ/16 от 23.12.2016</t>
  </si>
  <si>
    <t>332-ТМ/16 от 23.12.2016</t>
  </si>
  <si>
    <t>334-ТМ/16 от 23.12.2016</t>
  </si>
  <si>
    <t>335-ТМ/16 от 23.12.2016</t>
  </si>
  <si>
    <t>336-ТМ/16 от 23.12.2016</t>
  </si>
  <si>
    <t>337-ТМ/16 от 23.12.2016</t>
  </si>
  <si>
    <t>338-ТМ/16 от 23.12.216</t>
  </si>
  <si>
    <t>339-ТМ/16 от 23.12.2016</t>
  </si>
  <si>
    <t>340-ТМ/16 от 23.12.216</t>
  </si>
  <si>
    <t>341-ТМ/16 от 23.12.2016</t>
  </si>
  <si>
    <t>342-ТМ/16 от 23.12.2016</t>
  </si>
  <si>
    <t>315-ТМ/16 от 23.12.2016</t>
  </si>
  <si>
    <t>317-ТМ/16 от 23.12.2016</t>
  </si>
  <si>
    <t>319-ТМ/16 от 23.12.2016</t>
  </si>
  <si>
    <t>330-ТМ/16 от 23.12.2016</t>
  </si>
  <si>
    <t>353-ТМ/16 от 23.12.2016</t>
  </si>
  <si>
    <t>350-ТМ/16 от 23.12.2016</t>
  </si>
  <si>
    <t>351-ТМ/16 от 23.12.2016</t>
  </si>
  <si>
    <t>352-ТМ/16 от 23.12.2016</t>
  </si>
  <si>
    <t>348-ТМ/16 от 23.12.2016</t>
  </si>
  <si>
    <t>349-ТМ/16 от 23.12.2016</t>
  </si>
  <si>
    <t>347-ТМ/16 от 23.12.2016</t>
  </si>
  <si>
    <t>343-ТМ/16 от 23.12.2016</t>
  </si>
  <si>
    <t>344-ТМ/16 от 23.12.2016</t>
  </si>
  <si>
    <t>346-ТМ/16 от 23.12.2016</t>
  </si>
  <si>
    <t>5-129/16 от 30.12.2016</t>
  </si>
  <si>
    <t>5-128/16 от 30.12.2016</t>
  </si>
  <si>
    <t>328-ТМ/16 от 23.12.2016</t>
  </si>
  <si>
    <t>27,29 м2</t>
  </si>
  <si>
    <t>52,6 м2</t>
  </si>
  <si>
    <t>56,6 м2</t>
  </si>
  <si>
    <t>56,7 м2</t>
  </si>
  <si>
    <t xml:space="preserve">1 шт, </t>
  </si>
  <si>
    <t>28,24 м2</t>
  </si>
  <si>
    <t>46,74 м2</t>
  </si>
  <si>
    <t>33,72 м2</t>
  </si>
  <si>
    <t>52,07 м2</t>
  </si>
  <si>
    <t>54,48 м2</t>
  </si>
  <si>
    <t>50,85 м2</t>
  </si>
  <si>
    <t>51,21 м2</t>
  </si>
  <si>
    <t>51,63 м2</t>
  </si>
  <si>
    <t>52,92 м2</t>
  </si>
  <si>
    <t>21,4 м2</t>
  </si>
  <si>
    <t>42,8 м2</t>
  </si>
  <si>
    <t>34,23 м2</t>
  </si>
  <si>
    <t>33 м2</t>
  </si>
  <si>
    <t>30,69 м2</t>
  </si>
  <si>
    <t>32,82 м2</t>
  </si>
  <si>
    <t>28,39 м2</t>
  </si>
  <si>
    <t>46,63 м2</t>
  </si>
  <si>
    <t>28,8 м2</t>
  </si>
  <si>
    <t>28,45 м2</t>
  </si>
  <si>
    <t>17,3 м2</t>
  </si>
  <si>
    <t xml:space="preserve">2 шт </t>
  </si>
  <si>
    <t>53,65 м2</t>
  </si>
  <si>
    <t>208,19 м2</t>
  </si>
  <si>
    <t>58,1 м2</t>
  </si>
  <si>
    <t>48,46 м2</t>
  </si>
  <si>
    <t>32,18 м2</t>
  </si>
  <si>
    <t>32,63 м2</t>
  </si>
  <si>
    <t>30,94 м2</t>
  </si>
  <si>
    <t>47,51 м2</t>
  </si>
  <si>
    <t>51,92 м2</t>
  </si>
  <si>
    <t>53,18 м2</t>
  </si>
  <si>
    <t>51,71 м2</t>
  </si>
  <si>
    <t>67,97 м2</t>
  </si>
  <si>
    <t>42,96 м2</t>
  </si>
  <si>
    <t>32,38 м2</t>
  </si>
  <si>
    <t>46,49 м2</t>
  </si>
  <si>
    <t>66,98 м2</t>
  </si>
  <si>
    <t>52,85 м2</t>
  </si>
  <si>
    <t>55,76 м2</t>
  </si>
  <si>
    <t>52,62 м2</t>
  </si>
  <si>
    <t>56,54 м2</t>
  </si>
  <si>
    <t>56,91 м2</t>
  </si>
  <si>
    <t>55,62 м2</t>
  </si>
  <si>
    <t>56,58 м2</t>
  </si>
  <si>
    <t xml:space="preserve"> 395 м2</t>
  </si>
  <si>
    <t>_</t>
  </si>
  <si>
    <t>5-5/17 от 30.12.22016</t>
  </si>
  <si>
    <t xml:space="preserve">(подпись) </t>
  </si>
  <si>
    <t xml:space="preserve">                         по доверенности №007/17 от 01.01.2017</t>
  </si>
  <si>
    <t xml:space="preserve">                               по доверенности №007/17 от 01.01.2017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</si>
</sst>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4" fillId="0" borderId="1" xfId="0" applyNumberFormat="1" applyFont="1" applyFill="1" applyBorder="1" applyAlignment="1" applyProtection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5" fillId="0" borderId="1" xfId="0" applyFont="1" applyFill="1" applyBorder="1" applyAlignment="1">
      <alignment horizontal="center"/>
    </xf>
    <xf numFmtId="4" fontId="4" fillId="0" borderId="1" xfId="1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center" vertical="center"/>
      <protection locked="0"/>
    </xf>
    <xf numFmtId="4" fontId="4" fillId="0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7" fillId="0" borderId="1" xfId="0" applyFont="1" applyBorder="1"/>
    <xf numFmtId="0" fontId="2" fillId="0" borderId="1" xfId="0" applyFont="1" applyBorder="1"/>
    <xf numFmtId="0" fontId="2" fillId="0" borderId="0" xfId="0" applyFont="1" applyBorder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NumberFormat="1" applyFont="1"/>
    <xf numFmtId="0" fontId="2" fillId="3" borderId="0" xfId="0" applyFont="1" applyFill="1"/>
    <xf numFmtId="0" fontId="2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right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2" fillId="0" borderId="0" xfId="0" applyNumberFormat="1" applyFont="1" applyFill="1" applyBorder="1"/>
    <xf numFmtId="0" fontId="3" fillId="0" borderId="0" xfId="0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4" fillId="0" borderId="0" xfId="0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/>
    </xf>
    <xf numFmtId="0" fontId="4" fillId="0" borderId="0" xfId="1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/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/>
    </xf>
    <xf numFmtId="0" fontId="8" fillId="0" borderId="0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usernames" Target="revisions/userNames.xml"/><Relationship Id="rId4" Type="http://schemas.openxmlformats.org/officeDocument/2006/relationships/worksheet" Target="worksheets/sheet4.xml"/><Relationship Id="rId9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14.xml"/><Relationship Id="rId117" Type="http://schemas.openxmlformats.org/officeDocument/2006/relationships/revisionLog" Target="revisionLog11.xml"/><Relationship Id="rId21" Type="http://schemas.openxmlformats.org/officeDocument/2006/relationships/revisionLog" Target="revisionLog141.xml"/><Relationship Id="rId42" Type="http://schemas.openxmlformats.org/officeDocument/2006/relationships/revisionLog" Target="revisionLog16.xml"/><Relationship Id="rId47" Type="http://schemas.openxmlformats.org/officeDocument/2006/relationships/revisionLog" Target="revisionLog17.xml"/><Relationship Id="rId63" Type="http://schemas.openxmlformats.org/officeDocument/2006/relationships/revisionLog" Target="revisionLog19.xml"/><Relationship Id="rId68" Type="http://schemas.openxmlformats.org/officeDocument/2006/relationships/revisionLog" Target="revisionLog110.xml"/><Relationship Id="rId84" Type="http://schemas.openxmlformats.org/officeDocument/2006/relationships/revisionLog" Target="revisionLog112.xml"/><Relationship Id="rId89" Type="http://schemas.openxmlformats.org/officeDocument/2006/relationships/revisionLog" Target="revisionLog113.xml"/><Relationship Id="rId112" Type="http://schemas.openxmlformats.org/officeDocument/2006/relationships/revisionLog" Target="revisionLog111.xml"/><Relationship Id="rId133" Type="http://schemas.openxmlformats.org/officeDocument/2006/relationships/revisionLog" Target="revisionLog12.xml"/><Relationship Id="rId138" Type="http://schemas.openxmlformats.org/officeDocument/2006/relationships/revisionLog" Target="revisionLog13.xml"/><Relationship Id="rId16" Type="http://schemas.openxmlformats.org/officeDocument/2006/relationships/revisionLog" Target="revisionLog14111.xml"/><Relationship Id="rId107" Type="http://schemas.openxmlformats.org/officeDocument/2006/relationships/revisionLog" Target="revisionLog1111.xml"/><Relationship Id="rId11" Type="http://schemas.openxmlformats.org/officeDocument/2006/relationships/revisionLog" Target="revisionLog1311.xml"/><Relationship Id="rId32" Type="http://schemas.openxmlformats.org/officeDocument/2006/relationships/revisionLog" Target="revisionLog1711.xml"/><Relationship Id="rId37" Type="http://schemas.openxmlformats.org/officeDocument/2006/relationships/revisionLog" Target="revisionLog18111.xml"/><Relationship Id="rId53" Type="http://schemas.openxmlformats.org/officeDocument/2006/relationships/revisionLog" Target="revisionLog1121.xml"/><Relationship Id="rId58" Type="http://schemas.openxmlformats.org/officeDocument/2006/relationships/revisionLog" Target="revisionLog1112.xml"/><Relationship Id="rId74" Type="http://schemas.openxmlformats.org/officeDocument/2006/relationships/revisionLog" Target="revisionLog1141.xml"/><Relationship Id="rId79" Type="http://schemas.openxmlformats.org/officeDocument/2006/relationships/revisionLog" Target="revisionLog115.xml"/><Relationship Id="rId102" Type="http://schemas.openxmlformats.org/officeDocument/2006/relationships/revisionLog" Target="revisionLog131.xml"/><Relationship Id="rId123" Type="http://schemas.openxmlformats.org/officeDocument/2006/relationships/revisionLog" Target="revisionLog121.xml"/><Relationship Id="rId128" Type="http://schemas.openxmlformats.org/officeDocument/2006/relationships/revisionLog" Target="revisionLog15.xml"/><Relationship Id="rId144" Type="http://schemas.openxmlformats.org/officeDocument/2006/relationships/revisionLog" Target="revisionLog1.xml"/><Relationship Id="rId5" Type="http://schemas.openxmlformats.org/officeDocument/2006/relationships/revisionLog" Target="revisionLog12111.xml"/><Relationship Id="rId90" Type="http://schemas.openxmlformats.org/officeDocument/2006/relationships/revisionLog" Target="revisionLog117.xml"/><Relationship Id="rId95" Type="http://schemas.openxmlformats.org/officeDocument/2006/relationships/revisionLog" Target="revisionLog118.xml"/><Relationship Id="rId22" Type="http://schemas.openxmlformats.org/officeDocument/2006/relationships/revisionLog" Target="revisionLog1611111.xml"/><Relationship Id="rId27" Type="http://schemas.openxmlformats.org/officeDocument/2006/relationships/revisionLog" Target="revisionLog171111.xml"/><Relationship Id="rId43" Type="http://schemas.openxmlformats.org/officeDocument/2006/relationships/revisionLog" Target="revisionLog110111.xml"/><Relationship Id="rId48" Type="http://schemas.openxmlformats.org/officeDocument/2006/relationships/revisionLog" Target="revisionLog11211.xml"/><Relationship Id="rId64" Type="http://schemas.openxmlformats.org/officeDocument/2006/relationships/revisionLog" Target="revisionLog11511.xml"/><Relationship Id="rId69" Type="http://schemas.openxmlformats.org/officeDocument/2006/relationships/revisionLog" Target="revisionLog11611.xml"/><Relationship Id="rId113" Type="http://schemas.openxmlformats.org/officeDocument/2006/relationships/revisionLog" Target="revisionLog151.xml"/><Relationship Id="rId118" Type="http://schemas.openxmlformats.org/officeDocument/2006/relationships/revisionLog" Target="revisionLog18.xml"/><Relationship Id="rId134" Type="http://schemas.openxmlformats.org/officeDocument/2006/relationships/revisionLog" Target="revisionLog114.xml"/><Relationship Id="rId139" Type="http://schemas.openxmlformats.org/officeDocument/2006/relationships/revisionLog" Target="revisionLog116.xml"/><Relationship Id="rId8" Type="http://schemas.openxmlformats.org/officeDocument/2006/relationships/revisionLog" Target="revisionLog11311.xml"/><Relationship Id="rId51" Type="http://schemas.openxmlformats.org/officeDocument/2006/relationships/revisionLog" Target="revisionLog11411.xml"/><Relationship Id="rId72" Type="http://schemas.openxmlformats.org/officeDocument/2006/relationships/revisionLog" Target="revisionLog11711.xml"/><Relationship Id="rId80" Type="http://schemas.openxmlformats.org/officeDocument/2006/relationships/revisionLog" Target="revisionLog1181.xml"/><Relationship Id="rId85" Type="http://schemas.openxmlformats.org/officeDocument/2006/relationships/revisionLog" Target="revisionLog1172.xml"/><Relationship Id="rId93" Type="http://schemas.openxmlformats.org/officeDocument/2006/relationships/revisionLog" Target="revisionLog1182.xml"/><Relationship Id="rId98" Type="http://schemas.openxmlformats.org/officeDocument/2006/relationships/revisionLog" Target="revisionLog13121.xml"/><Relationship Id="rId121" Type="http://schemas.openxmlformats.org/officeDocument/2006/relationships/revisionLog" Target="revisionLog1211.xml"/><Relationship Id="rId142" Type="http://schemas.openxmlformats.org/officeDocument/2006/relationships/revisionLog" Target="revisionLog119.xml"/><Relationship Id="rId3" Type="http://schemas.openxmlformats.org/officeDocument/2006/relationships/revisionLog" Target="revisionLog1112111.xml"/><Relationship Id="rId12" Type="http://schemas.openxmlformats.org/officeDocument/2006/relationships/revisionLog" Target="revisionLog131211.xml"/><Relationship Id="rId17" Type="http://schemas.openxmlformats.org/officeDocument/2006/relationships/revisionLog" Target="revisionLog1411.xml"/><Relationship Id="rId25" Type="http://schemas.openxmlformats.org/officeDocument/2006/relationships/revisionLog" Target="revisionLog1511.xml"/><Relationship Id="rId33" Type="http://schemas.openxmlformats.org/officeDocument/2006/relationships/revisionLog" Target="revisionLog161.xml"/><Relationship Id="rId38" Type="http://schemas.openxmlformats.org/officeDocument/2006/relationships/revisionLog" Target="revisionLog171.xml"/><Relationship Id="rId46" Type="http://schemas.openxmlformats.org/officeDocument/2006/relationships/revisionLog" Target="revisionLog181.xml"/><Relationship Id="rId59" Type="http://schemas.openxmlformats.org/officeDocument/2006/relationships/revisionLog" Target="revisionLog19211.xml"/><Relationship Id="rId67" Type="http://schemas.openxmlformats.org/officeDocument/2006/relationships/revisionLog" Target="revisionLog116111.xml"/><Relationship Id="rId103" Type="http://schemas.openxmlformats.org/officeDocument/2006/relationships/revisionLog" Target="revisionLog1113.xml"/><Relationship Id="rId108" Type="http://schemas.openxmlformats.org/officeDocument/2006/relationships/revisionLog" Target="revisionLog12112.xml"/><Relationship Id="rId116" Type="http://schemas.openxmlformats.org/officeDocument/2006/relationships/revisionLog" Target="revisionLog182.xml"/><Relationship Id="rId124" Type="http://schemas.openxmlformats.org/officeDocument/2006/relationships/revisionLog" Target="revisionLog1521.xml"/><Relationship Id="rId129" Type="http://schemas.openxmlformats.org/officeDocument/2006/relationships/revisionLog" Target="revisionLog1142.xml"/><Relationship Id="rId137" Type="http://schemas.openxmlformats.org/officeDocument/2006/relationships/revisionLog" Target="revisionLog1161.xml"/><Relationship Id="rId20" Type="http://schemas.openxmlformats.org/officeDocument/2006/relationships/revisionLog" Target="revisionLog15111.xml"/><Relationship Id="rId41" Type="http://schemas.openxmlformats.org/officeDocument/2006/relationships/revisionLog" Target="revisionLog1811.xml"/><Relationship Id="rId54" Type="http://schemas.openxmlformats.org/officeDocument/2006/relationships/revisionLog" Target="revisionLog191.xml"/><Relationship Id="rId62" Type="http://schemas.openxmlformats.org/officeDocument/2006/relationships/revisionLog" Target="revisionLog192.xml"/><Relationship Id="rId70" Type="http://schemas.openxmlformats.org/officeDocument/2006/relationships/revisionLog" Target="revisionLog117111.xml"/><Relationship Id="rId75" Type="http://schemas.openxmlformats.org/officeDocument/2006/relationships/revisionLog" Target="revisionLog11811.xml"/><Relationship Id="rId83" Type="http://schemas.openxmlformats.org/officeDocument/2006/relationships/revisionLog" Target="revisionLog1191.xml"/><Relationship Id="rId88" Type="http://schemas.openxmlformats.org/officeDocument/2006/relationships/revisionLog" Target="revisionLog11821.xml"/><Relationship Id="rId91" Type="http://schemas.openxmlformats.org/officeDocument/2006/relationships/revisionLog" Target="revisionLog120.xml"/><Relationship Id="rId96" Type="http://schemas.openxmlformats.org/officeDocument/2006/relationships/revisionLog" Target="revisionLog122.xml"/><Relationship Id="rId111" Type="http://schemas.openxmlformats.org/officeDocument/2006/relationships/revisionLog" Target="revisionLog1512.xml"/><Relationship Id="rId132" Type="http://schemas.openxmlformats.org/officeDocument/2006/relationships/revisionLog" Target="revisionLog11612.xml"/><Relationship Id="rId140" Type="http://schemas.openxmlformats.org/officeDocument/2006/relationships/revisionLog" Target="revisionLog123.xml"/><Relationship Id="rId1" Type="http://schemas.openxmlformats.org/officeDocument/2006/relationships/revisionLog" Target="revisionLog111111.xml"/><Relationship Id="rId6" Type="http://schemas.openxmlformats.org/officeDocument/2006/relationships/revisionLog" Target="revisionLog121121.xml"/><Relationship Id="rId15" Type="http://schemas.openxmlformats.org/officeDocument/2006/relationships/revisionLog" Target="revisionLog141111.xml"/><Relationship Id="rId23" Type="http://schemas.openxmlformats.org/officeDocument/2006/relationships/revisionLog" Target="revisionLog161111.xml"/><Relationship Id="rId28" Type="http://schemas.openxmlformats.org/officeDocument/2006/relationships/revisionLog" Target="revisionLog17111.xml"/><Relationship Id="rId36" Type="http://schemas.openxmlformats.org/officeDocument/2006/relationships/revisionLog" Target="revisionLog181111.xml"/><Relationship Id="rId49" Type="http://schemas.openxmlformats.org/officeDocument/2006/relationships/revisionLog" Target="revisionLog11212.xml"/><Relationship Id="rId57" Type="http://schemas.openxmlformats.org/officeDocument/2006/relationships/revisionLog" Target="revisionLog11121.xml"/><Relationship Id="rId106" Type="http://schemas.openxmlformats.org/officeDocument/2006/relationships/revisionLog" Target="revisionLog1231.xml"/><Relationship Id="rId114" Type="http://schemas.openxmlformats.org/officeDocument/2006/relationships/revisionLog" Target="revisionLog1821.xml"/><Relationship Id="rId119" Type="http://schemas.openxmlformats.org/officeDocument/2006/relationships/revisionLog" Target="revisionLog11421.xml"/><Relationship Id="rId127" Type="http://schemas.openxmlformats.org/officeDocument/2006/relationships/revisionLog" Target="revisionLog116121.xml"/><Relationship Id="rId10" Type="http://schemas.openxmlformats.org/officeDocument/2006/relationships/revisionLog" Target="revisionLog13111.xml"/><Relationship Id="rId31" Type="http://schemas.openxmlformats.org/officeDocument/2006/relationships/revisionLog" Target="revisionLog1811111.xml"/><Relationship Id="rId44" Type="http://schemas.openxmlformats.org/officeDocument/2006/relationships/revisionLog" Target="revisionLog11011.xml"/><Relationship Id="rId52" Type="http://schemas.openxmlformats.org/officeDocument/2006/relationships/revisionLog" Target="revisionLog11312.xml"/><Relationship Id="rId60" Type="http://schemas.openxmlformats.org/officeDocument/2006/relationships/revisionLog" Target="revisionLog11412.xml"/><Relationship Id="rId65" Type="http://schemas.openxmlformats.org/officeDocument/2006/relationships/revisionLog" Target="revisionLog1151.xml"/><Relationship Id="rId73" Type="http://schemas.openxmlformats.org/officeDocument/2006/relationships/revisionLog" Target="revisionLog1161211.xml"/><Relationship Id="rId78" Type="http://schemas.openxmlformats.org/officeDocument/2006/relationships/revisionLog" Target="revisionLog11721.xml"/><Relationship Id="rId81" Type="http://schemas.openxmlformats.org/officeDocument/2006/relationships/revisionLog" Target="revisionLog118211.xml"/><Relationship Id="rId86" Type="http://schemas.openxmlformats.org/officeDocument/2006/relationships/revisionLog" Target="revisionLog1201.xml"/><Relationship Id="rId94" Type="http://schemas.openxmlformats.org/officeDocument/2006/relationships/revisionLog" Target="revisionLog1221.xml"/><Relationship Id="rId99" Type="http://schemas.openxmlformats.org/officeDocument/2006/relationships/revisionLog" Target="revisionLog15121.xml"/><Relationship Id="rId101" Type="http://schemas.openxmlformats.org/officeDocument/2006/relationships/revisionLog" Target="revisionLog12311.xml"/><Relationship Id="rId122" Type="http://schemas.openxmlformats.org/officeDocument/2006/relationships/revisionLog" Target="revisionLog15211.xml"/><Relationship Id="rId130" Type="http://schemas.openxmlformats.org/officeDocument/2006/relationships/revisionLog" Target="revisionLog124.xml"/><Relationship Id="rId135" Type="http://schemas.openxmlformats.org/officeDocument/2006/relationships/revisionLog" Target="revisionLog125.xml"/><Relationship Id="rId143" Type="http://schemas.openxmlformats.org/officeDocument/2006/relationships/revisionLog" Target="revisionLog126.xml"/><Relationship Id="rId4" Type="http://schemas.openxmlformats.org/officeDocument/2006/relationships/revisionLog" Target="revisionLog121111.xml"/><Relationship Id="rId9" Type="http://schemas.openxmlformats.org/officeDocument/2006/relationships/revisionLog" Target="revisionLog131111.xml"/><Relationship Id="rId13" Type="http://schemas.openxmlformats.org/officeDocument/2006/relationships/revisionLog" Target="revisionLog123111.xml"/><Relationship Id="rId18" Type="http://schemas.openxmlformats.org/officeDocument/2006/relationships/revisionLog" Target="revisionLog132.xml"/><Relationship Id="rId39" Type="http://schemas.openxmlformats.org/officeDocument/2006/relationships/revisionLog" Target="revisionLog152111.xml"/><Relationship Id="rId109" Type="http://schemas.openxmlformats.org/officeDocument/2006/relationships/revisionLog" Target="revisionLog18211.xml"/><Relationship Id="rId34" Type="http://schemas.openxmlformats.org/officeDocument/2006/relationships/revisionLog" Target="revisionLog151211.xml"/><Relationship Id="rId50" Type="http://schemas.openxmlformats.org/officeDocument/2006/relationships/revisionLog" Target="revisionLog11131.xml"/><Relationship Id="rId55" Type="http://schemas.openxmlformats.org/officeDocument/2006/relationships/revisionLog" Target="revisionLog182111.xml"/><Relationship Id="rId76" Type="http://schemas.openxmlformats.org/officeDocument/2006/relationships/revisionLog" Target="revisionLog111311.xml"/><Relationship Id="rId97" Type="http://schemas.openxmlformats.org/officeDocument/2006/relationships/revisionLog" Target="revisionLog1241.xml"/><Relationship Id="rId104" Type="http://schemas.openxmlformats.org/officeDocument/2006/relationships/revisionLog" Target="revisionLog12411.xml"/><Relationship Id="rId120" Type="http://schemas.openxmlformats.org/officeDocument/2006/relationships/revisionLog" Target="revisionLog1251.xml"/><Relationship Id="rId125" Type="http://schemas.openxmlformats.org/officeDocument/2006/relationships/revisionLog" Target="revisionLog11613.xml"/><Relationship Id="rId141" Type="http://schemas.openxmlformats.org/officeDocument/2006/relationships/revisionLog" Target="revisionLog1261.xml"/><Relationship Id="rId7" Type="http://schemas.openxmlformats.org/officeDocument/2006/relationships/revisionLog" Target="revisionLog1212.xml"/><Relationship Id="rId71" Type="http://schemas.openxmlformats.org/officeDocument/2006/relationships/revisionLog" Target="revisionLog11112.xml"/><Relationship Id="rId92" Type="http://schemas.openxmlformats.org/officeDocument/2006/relationships/revisionLog" Target="revisionLog114211.xml"/><Relationship Id="rId2" Type="http://schemas.openxmlformats.org/officeDocument/2006/relationships/revisionLog" Target="revisionLog111112.xml"/><Relationship Id="rId29" Type="http://schemas.openxmlformats.org/officeDocument/2006/relationships/revisionLog" Target="revisionLog1611.xml"/><Relationship Id="rId24" Type="http://schemas.openxmlformats.org/officeDocument/2006/relationships/revisionLog" Target="revisionLog16111.xml"/><Relationship Id="rId40" Type="http://schemas.openxmlformats.org/officeDocument/2006/relationships/revisionLog" Target="revisionLog1911.xml"/><Relationship Id="rId45" Type="http://schemas.openxmlformats.org/officeDocument/2006/relationships/revisionLog" Target="revisionLog1101.xml"/><Relationship Id="rId66" Type="http://schemas.openxmlformats.org/officeDocument/2006/relationships/revisionLog" Target="revisionLog1131.xml"/><Relationship Id="rId87" Type="http://schemas.openxmlformats.org/officeDocument/2006/relationships/revisionLog" Target="revisionLog1162.xml"/><Relationship Id="rId110" Type="http://schemas.openxmlformats.org/officeDocument/2006/relationships/revisionLog" Target="revisionLog12611.xml"/><Relationship Id="rId115" Type="http://schemas.openxmlformats.org/officeDocument/2006/relationships/revisionLog" Target="revisionLog153.xml"/><Relationship Id="rId131" Type="http://schemas.openxmlformats.org/officeDocument/2006/relationships/revisionLog" Target="revisionLog127.xml"/><Relationship Id="rId136" Type="http://schemas.openxmlformats.org/officeDocument/2006/relationships/revisionLog" Target="revisionLog128.xml"/><Relationship Id="rId61" Type="http://schemas.openxmlformats.org/officeDocument/2006/relationships/revisionLog" Target="revisionLog1921.xml"/><Relationship Id="rId82" Type="http://schemas.openxmlformats.org/officeDocument/2006/relationships/revisionLog" Target="revisionLog116131.xml"/><Relationship Id="rId19" Type="http://schemas.openxmlformats.org/officeDocument/2006/relationships/revisionLog" Target="revisionLog151111.xml"/><Relationship Id="rId14" Type="http://schemas.openxmlformats.org/officeDocument/2006/relationships/revisionLog" Target="revisionLog1411111.xml"/><Relationship Id="rId30" Type="http://schemas.openxmlformats.org/officeDocument/2006/relationships/revisionLog" Target="revisionLog18111111.xml"/><Relationship Id="rId35" Type="http://schemas.openxmlformats.org/officeDocument/2006/relationships/revisionLog" Target="revisionLog19111.xml"/><Relationship Id="rId56" Type="http://schemas.openxmlformats.org/officeDocument/2006/relationships/revisionLog" Target="revisionLog111211.xml"/><Relationship Id="rId77" Type="http://schemas.openxmlformats.org/officeDocument/2006/relationships/revisionLog" Target="revisionLog1171.xml"/><Relationship Id="rId100" Type="http://schemas.openxmlformats.org/officeDocument/2006/relationships/revisionLog" Target="revisionLog1312.xml"/><Relationship Id="rId105" Type="http://schemas.openxmlformats.org/officeDocument/2006/relationships/revisionLog" Target="revisionLog11111.xml"/><Relationship Id="rId126" Type="http://schemas.openxmlformats.org/officeDocument/2006/relationships/revisionLog" Target="revisionLog152.xml"/></Relationships>
</file>

<file path=xl/revisions/revisionHeaders.xml><?xml version="1.0" encoding="utf-8"?>
<headers xmlns="http://schemas.openxmlformats.org/spreadsheetml/2006/main" xmlns:r="http://schemas.openxmlformats.org/officeDocument/2006/relationships" guid="{5EB4FC71-AE88-4A26-A606-53144C877D94}" diskRevisions="1" revisionId="3375" version="144">
  <header guid="{D9D3025E-CBB3-419D-8729-79A085E92F54}" dateTime="2017-03-29T15:30:38" maxSheetId="5" userName="Белова-АЮ" r:id="rId1">
    <sheetIdMap count="4">
      <sheetId val="1"/>
      <sheetId val="2"/>
      <sheetId val="3"/>
      <sheetId val="4"/>
    </sheetIdMap>
  </header>
  <header guid="{BA12AB45-8246-48C6-B405-51C23BC49A4D}" dateTime="2017-03-29T15:37:13" maxSheetId="5" userName="Белова-АЮ" r:id="rId2" minRId="1" maxRId="7">
    <sheetIdMap count="4">
      <sheetId val="1"/>
      <sheetId val="2"/>
      <sheetId val="3"/>
      <sheetId val="4"/>
    </sheetIdMap>
  </header>
  <header guid="{876537DF-F8EA-4DD1-9FEA-56369B9C1C32}" dateTime="2017-03-29T15:38:55" maxSheetId="5" userName="Белова-АЮ" r:id="rId3" minRId="8" maxRId="13">
    <sheetIdMap count="4">
      <sheetId val="1"/>
      <sheetId val="2"/>
      <sheetId val="3"/>
      <sheetId val="4"/>
    </sheetIdMap>
  </header>
  <header guid="{91035560-C1C0-4793-A31D-3350B2D6D805}" dateTime="2017-03-29T15:40:58" maxSheetId="5" userName="Белова-АЮ" r:id="rId4" minRId="14" maxRId="19">
    <sheetIdMap count="4">
      <sheetId val="1"/>
      <sheetId val="2"/>
      <sheetId val="3"/>
      <sheetId val="4"/>
    </sheetIdMap>
  </header>
  <header guid="{3F45557E-D2FF-4540-AACA-1463106448D1}" dateTime="2017-03-29T15:44:42" maxSheetId="5" userName="Белова-АЮ" r:id="rId5" minRId="20" maxRId="25">
    <sheetIdMap count="4">
      <sheetId val="1"/>
      <sheetId val="2"/>
      <sheetId val="3"/>
      <sheetId val="4"/>
    </sheetIdMap>
  </header>
  <header guid="{B500C2CB-08A1-40F5-BFA8-F8B1121BBF1B}" dateTime="2017-03-29T15:46:00" maxSheetId="5" userName="Белова-АЮ" r:id="rId6" minRId="26" maxRId="31">
    <sheetIdMap count="4">
      <sheetId val="1"/>
      <sheetId val="2"/>
      <sheetId val="3"/>
      <sheetId val="4"/>
    </sheetIdMap>
  </header>
  <header guid="{F63BD475-E5D4-4253-9032-47DCB7E63B02}" dateTime="2017-03-29T15:48:09" maxSheetId="5" userName="Белова-АЮ" r:id="rId7" minRId="32" maxRId="37">
    <sheetIdMap count="4">
      <sheetId val="1"/>
      <sheetId val="2"/>
      <sheetId val="3"/>
      <sheetId val="4"/>
    </sheetIdMap>
  </header>
  <header guid="{76D1681D-3D7F-4345-AAC2-26A5EB7B3407}" dateTime="2017-03-29T15:49:22" maxSheetId="5" userName="Белова-АЮ" r:id="rId8" minRId="38" maxRId="43">
    <sheetIdMap count="4">
      <sheetId val="1"/>
      <sheetId val="2"/>
      <sheetId val="3"/>
      <sheetId val="4"/>
    </sheetIdMap>
  </header>
  <header guid="{122D6E91-2B34-4F36-AE53-FF561D83E6D7}" dateTime="2017-03-29T15:51:12" maxSheetId="5" userName="Белова-АЮ" r:id="rId9" minRId="44" maxRId="49">
    <sheetIdMap count="4">
      <sheetId val="1"/>
      <sheetId val="2"/>
      <sheetId val="3"/>
      <sheetId val="4"/>
    </sheetIdMap>
  </header>
  <header guid="{2A910C43-904D-48FE-8D52-40B1F9DDF42D}" dateTime="2017-03-29T15:52:49" maxSheetId="5" userName="Белова-АЮ" r:id="rId10" minRId="50" maxRId="55">
    <sheetIdMap count="4">
      <sheetId val="1"/>
      <sheetId val="2"/>
      <sheetId val="3"/>
      <sheetId val="4"/>
    </sheetIdMap>
  </header>
  <header guid="{D3266BD6-3814-4231-AF33-8C8EE10A649E}" dateTime="2017-03-29T15:54:26" maxSheetId="5" userName="Белова-АЮ" r:id="rId11" minRId="56" maxRId="61">
    <sheetIdMap count="4">
      <sheetId val="1"/>
      <sheetId val="2"/>
      <sheetId val="3"/>
      <sheetId val="4"/>
    </sheetIdMap>
  </header>
  <header guid="{F11363BE-F7C4-4BAB-BA96-840F91298B1E}" dateTime="2017-03-29T15:56:36" maxSheetId="5" userName="Белова-АЮ" r:id="rId12" minRId="62" maxRId="67">
    <sheetIdMap count="4">
      <sheetId val="1"/>
      <sheetId val="2"/>
      <sheetId val="3"/>
      <sheetId val="4"/>
    </sheetIdMap>
  </header>
  <header guid="{571CFC89-CD13-4946-A618-96D58ABC9234}" dateTime="2017-03-29T15:58:13" maxSheetId="5" userName="Белова-АЮ" r:id="rId13" minRId="68" maxRId="71">
    <sheetIdMap count="4">
      <sheetId val="1"/>
      <sheetId val="2"/>
      <sheetId val="3"/>
      <sheetId val="4"/>
    </sheetIdMap>
  </header>
  <header guid="{EB703773-82FB-404C-9693-E81D8DCB5C29}" dateTime="2017-03-29T16:00:30" maxSheetId="5" userName="Белова-АЮ" r:id="rId14" minRId="72" maxRId="77">
    <sheetIdMap count="4">
      <sheetId val="1"/>
      <sheetId val="2"/>
      <sheetId val="3"/>
      <sheetId val="4"/>
    </sheetIdMap>
  </header>
  <header guid="{40A7B093-6C53-44AF-9B86-6E634FC2B3D9}" dateTime="2017-03-29T16:03:06" maxSheetId="5" userName="Белова-АЮ" r:id="rId15" minRId="78" maxRId="81">
    <sheetIdMap count="4">
      <sheetId val="1"/>
      <sheetId val="2"/>
      <sheetId val="3"/>
      <sheetId val="4"/>
    </sheetIdMap>
  </header>
  <header guid="{A738E35E-8D79-4835-AE43-A4FC366EA422}" dateTime="2017-03-29T16:06:06" maxSheetId="5" userName="Белова-АЮ" r:id="rId16" minRId="82" maxRId="89">
    <sheetIdMap count="4">
      <sheetId val="1"/>
      <sheetId val="2"/>
      <sheetId val="3"/>
      <sheetId val="4"/>
    </sheetIdMap>
  </header>
  <header guid="{885B379E-6971-4B99-B62C-399CB4244E1E}" dateTime="2017-03-29T16:11:30" maxSheetId="5" userName="Белова-АЮ" r:id="rId17" minRId="90" maxRId="96">
    <sheetIdMap count="4">
      <sheetId val="1"/>
      <sheetId val="2"/>
      <sheetId val="3"/>
      <sheetId val="4"/>
    </sheetIdMap>
  </header>
  <header guid="{B2B7B061-B661-460E-ADF1-205283E1B0B5}" dateTime="2017-03-29T16:13:23" maxSheetId="5" userName="Белова-АЮ" r:id="rId18" minRId="97" maxRId="102">
    <sheetIdMap count="4">
      <sheetId val="1"/>
      <sheetId val="2"/>
      <sheetId val="3"/>
      <sheetId val="4"/>
    </sheetIdMap>
  </header>
  <header guid="{F089AFA0-2937-420A-93C7-D760EFDBE4AB}" dateTime="2017-03-29T16:19:25" maxSheetId="5" userName="Белова-АЮ" r:id="rId19" minRId="103" maxRId="105">
    <sheetIdMap count="4">
      <sheetId val="1"/>
      <sheetId val="2"/>
      <sheetId val="3"/>
      <sheetId val="4"/>
    </sheetIdMap>
  </header>
  <header guid="{BDB527B4-F7CF-4866-AD5C-4E6891881671}" dateTime="2017-03-29T16:25:57" maxSheetId="5" userName="Белова-АЮ" r:id="rId20" minRId="106" maxRId="115">
    <sheetIdMap count="4">
      <sheetId val="1"/>
      <sheetId val="2"/>
      <sheetId val="3"/>
      <sheetId val="4"/>
    </sheetIdMap>
  </header>
  <header guid="{A82AF696-BEF2-44A4-B917-F3EA19F94547}" dateTime="2017-03-29T16:27:41" maxSheetId="5" userName="Белова-АЮ" r:id="rId21" minRId="116" maxRId="121">
    <sheetIdMap count="4">
      <sheetId val="1"/>
      <sheetId val="2"/>
      <sheetId val="3"/>
      <sheetId val="4"/>
    </sheetIdMap>
  </header>
  <header guid="{D1C1BE82-3BE3-4842-AAAC-A5B8FF3F5481}" dateTime="2017-03-29T16:29:21" maxSheetId="5" userName="Белова-АЮ" r:id="rId22" minRId="122" maxRId="127">
    <sheetIdMap count="4">
      <sheetId val="1"/>
      <sheetId val="2"/>
      <sheetId val="3"/>
      <sheetId val="4"/>
    </sheetIdMap>
  </header>
  <header guid="{2AEFC9C8-D029-47FB-82A5-2DE659D08DDB}" dateTime="2017-03-29T16:30:31" maxSheetId="5" userName="Белова-АЮ" r:id="rId23" minRId="128" maxRId="133">
    <sheetIdMap count="4">
      <sheetId val="1"/>
      <sheetId val="2"/>
      <sheetId val="3"/>
      <sheetId val="4"/>
    </sheetIdMap>
  </header>
  <header guid="{1A233F92-BEEB-448F-90C9-F07AE671DD29}" dateTime="2017-03-29T16:32:11" maxSheetId="5" userName="Белова-АЮ" r:id="rId24" minRId="134" maxRId="139">
    <sheetIdMap count="4">
      <sheetId val="1"/>
      <sheetId val="2"/>
      <sheetId val="3"/>
      <sheetId val="4"/>
    </sheetIdMap>
  </header>
  <header guid="{E1DEA080-2447-4BC6-A4A8-EDEE82B248AF}" dateTime="2017-03-29T16:33:44" maxSheetId="5" userName="Белова-АЮ" r:id="rId25" minRId="140" maxRId="143">
    <sheetIdMap count="4">
      <sheetId val="1"/>
      <sheetId val="2"/>
      <sheetId val="3"/>
      <sheetId val="4"/>
    </sheetIdMap>
  </header>
  <header guid="{BFA3E79B-5695-465D-A0A5-DDE2B75D7063}" dateTime="2017-03-29T16:33:56" maxSheetId="5" userName="Белова-АЮ" r:id="rId26" minRId="144" maxRId="145">
    <sheetIdMap count="4">
      <sheetId val="1"/>
      <sheetId val="2"/>
      <sheetId val="3"/>
      <sheetId val="4"/>
    </sheetIdMap>
  </header>
  <header guid="{AEC18BB5-2687-4144-99A4-BE4ADA4B03D7}" dateTime="2017-03-29T16:35:54" maxSheetId="5" userName="Белова-АЮ" r:id="rId27" minRId="146" maxRId="151">
    <sheetIdMap count="4">
      <sheetId val="1"/>
      <sheetId val="2"/>
      <sheetId val="3"/>
      <sheetId val="4"/>
    </sheetIdMap>
  </header>
  <header guid="{79074F6C-9A04-4CA8-85B9-EB0FD0A490BC}" dateTime="2017-03-29T16:37:26" maxSheetId="5" userName="Белова-АЮ" r:id="rId28" minRId="152" maxRId="157">
    <sheetIdMap count="4">
      <sheetId val="1"/>
      <sheetId val="2"/>
      <sheetId val="3"/>
      <sheetId val="4"/>
    </sheetIdMap>
  </header>
  <header guid="{35C04A2E-976D-403A-AA48-C1530264BB78}" dateTime="2017-03-29T16:39:47" maxSheetId="5" userName="Белова-АЮ" r:id="rId29" minRId="158" maxRId="163">
    <sheetIdMap count="4">
      <sheetId val="1"/>
      <sheetId val="2"/>
      <sheetId val="3"/>
      <sheetId val="4"/>
    </sheetIdMap>
  </header>
  <header guid="{637D1C7C-950A-43E0-9C65-E85535DB9BB0}" dateTime="2017-03-29T16:41:40" maxSheetId="5" userName="Белова-АЮ" r:id="rId30" minRId="164" maxRId="169">
    <sheetIdMap count="4">
      <sheetId val="1"/>
      <sheetId val="2"/>
      <sheetId val="3"/>
      <sheetId val="4"/>
    </sheetIdMap>
  </header>
  <header guid="{485EB6FB-F407-492C-A351-3CE3CF48BD3D}" dateTime="2017-03-29T16:44:06" maxSheetId="5" userName="Белова-АЮ" r:id="rId31" minRId="170" maxRId="175">
    <sheetIdMap count="4">
      <sheetId val="1"/>
      <sheetId val="2"/>
      <sheetId val="3"/>
      <sheetId val="4"/>
    </sheetIdMap>
  </header>
  <header guid="{902DA955-43E2-44EB-939D-402A15136DDA}" dateTime="2017-03-29T16:45:38" maxSheetId="5" userName="Белова-АЮ" r:id="rId32" minRId="176" maxRId="181">
    <sheetIdMap count="4">
      <sheetId val="1"/>
      <sheetId val="2"/>
      <sheetId val="3"/>
      <sheetId val="4"/>
    </sheetIdMap>
  </header>
  <header guid="{7114295C-D7F6-459B-8189-B7E1392A3C7A}" dateTime="2017-03-29T16:46:56" maxSheetId="5" userName="Белова-АЮ" r:id="rId33" minRId="182" maxRId="187">
    <sheetIdMap count="4">
      <sheetId val="1"/>
      <sheetId val="2"/>
      <sheetId val="3"/>
      <sheetId val="4"/>
    </sheetIdMap>
  </header>
  <header guid="{BC0B6297-B656-4235-9341-449B5F97505B}" dateTime="2017-03-29T16:48:37" maxSheetId="5" userName="Белова-АЮ" r:id="rId34" minRId="188" maxRId="193">
    <sheetIdMap count="4">
      <sheetId val="1"/>
      <sheetId val="2"/>
      <sheetId val="3"/>
      <sheetId val="4"/>
    </sheetIdMap>
  </header>
  <header guid="{FBD16E8A-7B1D-4497-9066-C0D998AC0C2E}" dateTime="2017-03-29T16:49:47" maxSheetId="5" userName="Белова-АЮ" r:id="rId35" minRId="194" maxRId="199">
    <sheetIdMap count="4">
      <sheetId val="1"/>
      <sheetId val="2"/>
      <sheetId val="3"/>
      <sheetId val="4"/>
    </sheetIdMap>
  </header>
  <header guid="{42E56977-16D8-48C2-BC43-8BAB80B8FEF9}" dateTime="2017-03-29T16:51:07" maxSheetId="5" userName="Белова-АЮ" r:id="rId36" minRId="200" maxRId="205">
    <sheetIdMap count="4">
      <sheetId val="1"/>
      <sheetId val="2"/>
      <sheetId val="3"/>
      <sheetId val="4"/>
    </sheetIdMap>
  </header>
  <header guid="{7AF256A5-5FC2-4516-90E1-A1E91E119D59}" dateTime="2017-03-29T16:53:52" maxSheetId="5" userName="Белова-АЮ" r:id="rId37" minRId="206" maxRId="217">
    <sheetIdMap count="4">
      <sheetId val="1"/>
      <sheetId val="2"/>
      <sheetId val="3"/>
      <sheetId val="4"/>
    </sheetIdMap>
  </header>
  <header guid="{887D35A2-B9AF-4E91-AC07-5032979B5F39}" dateTime="2017-03-29T16:54:45" maxSheetId="5" userName="Белова-АЮ" r:id="rId38" minRId="218" maxRId="223">
    <sheetIdMap count="4">
      <sheetId val="1"/>
      <sheetId val="2"/>
      <sheetId val="3"/>
      <sheetId val="4"/>
    </sheetIdMap>
  </header>
  <header guid="{6566A1DE-4547-461E-93C0-9C4C2E50D688}" dateTime="2017-03-29T16:55:59" maxSheetId="5" userName="Белова-АЮ" r:id="rId39" minRId="224" maxRId="229">
    <sheetIdMap count="4">
      <sheetId val="1"/>
      <sheetId val="2"/>
      <sheetId val="3"/>
      <sheetId val="4"/>
    </sheetIdMap>
  </header>
  <header guid="{C4F08526-FA5F-4911-8D6A-1E4AB56887EC}" dateTime="2017-03-29T16:57:26" maxSheetId="5" userName="Белова-АЮ" r:id="rId40" minRId="230" maxRId="235">
    <sheetIdMap count="4">
      <sheetId val="1"/>
      <sheetId val="2"/>
      <sheetId val="3"/>
      <sheetId val="4"/>
    </sheetIdMap>
  </header>
  <header guid="{86F223E8-2284-4995-9DE4-CA16AD55F781}" dateTime="2017-03-29T16:59:14" maxSheetId="5" userName="Белова-АЮ" r:id="rId41" minRId="236" maxRId="241">
    <sheetIdMap count="4">
      <sheetId val="1"/>
      <sheetId val="2"/>
      <sheetId val="3"/>
      <sheetId val="4"/>
    </sheetIdMap>
  </header>
  <header guid="{9791CAA2-2B0C-4B22-9104-3FD87460424D}" dateTime="2017-03-29T17:00:25" maxSheetId="5" userName="Белова-АЮ" r:id="rId42" minRId="242" maxRId="245">
    <sheetIdMap count="4">
      <sheetId val="1"/>
      <sheetId val="2"/>
      <sheetId val="3"/>
      <sheetId val="4"/>
    </sheetIdMap>
  </header>
  <header guid="{4014E20B-B5AD-43A7-87A2-5B76D6F8B065}" dateTime="2017-03-29T17:01:49" maxSheetId="5" userName="Белова-АЮ" r:id="rId43" minRId="246" maxRId="253">
    <sheetIdMap count="4">
      <sheetId val="1"/>
      <sheetId val="2"/>
      <sheetId val="3"/>
      <sheetId val="4"/>
    </sheetIdMap>
  </header>
  <header guid="{E49B5C92-44A3-413D-8F66-3B80630BB33C}" dateTime="2017-03-29T17:03:09" maxSheetId="5" userName="Белова-АЮ" r:id="rId44" minRId="254" maxRId="259">
    <sheetIdMap count="4">
      <sheetId val="1"/>
      <sheetId val="2"/>
      <sheetId val="3"/>
      <sheetId val="4"/>
    </sheetIdMap>
  </header>
  <header guid="{CBFA665E-695B-44D6-B11B-40CDFFCD7F84}" dateTime="2017-03-29T17:04:39" maxSheetId="5" userName="Белова-АЮ" r:id="rId45" minRId="260" maxRId="265">
    <sheetIdMap count="4">
      <sheetId val="1"/>
      <sheetId val="2"/>
      <sheetId val="3"/>
      <sheetId val="4"/>
    </sheetIdMap>
  </header>
  <header guid="{CA398647-2B81-4E21-8780-13252B631EEA}" dateTime="2017-03-29T17:06:24" maxSheetId="5" userName="Белова-АЮ" r:id="rId46" minRId="266" maxRId="271">
    <sheetIdMap count="4">
      <sheetId val="1"/>
      <sheetId val="2"/>
      <sheetId val="3"/>
      <sheetId val="4"/>
    </sheetIdMap>
  </header>
  <header guid="{816CD1DB-0223-44E5-B3CF-FB04733351DF}" dateTime="2017-03-29T17:07:35" maxSheetId="5" userName="Белова-АЮ" r:id="rId47" minRId="272" maxRId="277">
    <sheetIdMap count="4">
      <sheetId val="1"/>
      <sheetId val="2"/>
      <sheetId val="3"/>
      <sheetId val="4"/>
    </sheetIdMap>
  </header>
  <header guid="{C8372D73-A21D-4033-B779-2DD88635A524}" dateTime="2017-03-29T17:09:31" maxSheetId="5" userName="Белова-АЮ" r:id="rId48" minRId="278" maxRId="289">
    <sheetIdMap count="4">
      <sheetId val="1"/>
      <sheetId val="2"/>
      <sheetId val="3"/>
      <sheetId val="4"/>
    </sheetIdMap>
  </header>
  <header guid="{A3D22EDA-9F16-44BA-9887-81D6DEEA0FDB}" dateTime="2017-03-29T17:10:28" maxSheetId="5" userName="Белова-АЮ" r:id="rId49" minRId="290" maxRId="295">
    <sheetIdMap count="4">
      <sheetId val="1"/>
      <sheetId val="2"/>
      <sheetId val="3"/>
      <sheetId val="4"/>
    </sheetIdMap>
  </header>
  <header guid="{20F48FB4-6A86-40CB-9D24-787FA9F308C1}" dateTime="2017-03-29T17:11:31" maxSheetId="5" userName="Белова-АЮ" r:id="rId50" minRId="296" maxRId="301">
    <sheetIdMap count="4">
      <sheetId val="1"/>
      <sheetId val="2"/>
      <sheetId val="3"/>
      <sheetId val="4"/>
    </sheetIdMap>
  </header>
  <header guid="{4F3B2E21-EC10-4083-A182-BA71BDFFD5B0}" dateTime="2017-03-29T17:12:21" maxSheetId="5" userName="Белова-АЮ" r:id="rId51" minRId="302" maxRId="307">
    <sheetIdMap count="4">
      <sheetId val="1"/>
      <sheetId val="2"/>
      <sheetId val="3"/>
      <sheetId val="4"/>
    </sheetIdMap>
  </header>
  <header guid="{07217471-4B8A-47AD-A901-5BB197CE5FC3}" dateTime="2017-03-29T17:13:51" maxSheetId="5" userName="Белова-АЮ" r:id="rId52" minRId="308" maxRId="313">
    <sheetIdMap count="4">
      <sheetId val="1"/>
      <sheetId val="2"/>
      <sheetId val="3"/>
      <sheetId val="4"/>
    </sheetIdMap>
  </header>
  <header guid="{C28C6A10-0255-4ED8-BCB0-4B670D8F5645}" dateTime="2017-03-29T17:15:00" maxSheetId="5" userName="Белова-АЮ" r:id="rId53" minRId="314" maxRId="319">
    <sheetIdMap count="4">
      <sheetId val="1"/>
      <sheetId val="2"/>
      <sheetId val="3"/>
      <sheetId val="4"/>
    </sheetIdMap>
  </header>
  <header guid="{387424C3-8DC3-4204-9FDC-9B9E778CE586}" dateTime="2017-03-29T17:16:05" maxSheetId="5" userName="Белова-АЮ" r:id="rId54" minRId="320" maxRId="325">
    <sheetIdMap count="4">
      <sheetId val="1"/>
      <sheetId val="2"/>
      <sheetId val="3"/>
      <sheetId val="4"/>
    </sheetIdMap>
  </header>
  <header guid="{E114B549-B32F-44BC-B439-5A495BD758EB}" dateTime="2017-03-29T17:17:22" maxSheetId="5" userName="Белова-АЮ" r:id="rId55" minRId="326" maxRId="331">
    <sheetIdMap count="4">
      <sheetId val="1"/>
      <sheetId val="2"/>
      <sheetId val="3"/>
      <sheetId val="4"/>
    </sheetIdMap>
  </header>
  <header guid="{B227D9F2-52AF-493A-AF35-F2A8871D5695}" dateTime="2017-03-29T17:19:17" maxSheetId="5" userName="Белова-АЮ" r:id="rId56" minRId="332" maxRId="343">
    <sheetIdMap count="4">
      <sheetId val="1"/>
      <sheetId val="2"/>
      <sheetId val="3"/>
      <sheetId val="4"/>
    </sheetIdMap>
  </header>
  <header guid="{D871225D-9B3F-4E30-A529-7EC92A839772}" dateTime="2017-03-29T17:20:24" maxSheetId="5" userName="Белова-АЮ" r:id="rId57" minRId="344" maxRId="349">
    <sheetIdMap count="4">
      <sheetId val="1"/>
      <sheetId val="2"/>
      <sheetId val="3"/>
      <sheetId val="4"/>
    </sheetIdMap>
  </header>
  <header guid="{A8A85F67-8FF3-4438-9555-A75508BF70A0}" dateTime="2017-03-29T17:27:17" maxSheetId="5" userName="Белова-АЮ" r:id="rId58" minRId="350" maxRId="355">
    <sheetIdMap count="4">
      <sheetId val="1"/>
      <sheetId val="2"/>
      <sheetId val="3"/>
      <sheetId val="4"/>
    </sheetIdMap>
  </header>
  <header guid="{01FC6C8E-4F06-42C1-A466-0F3BE0880785}" dateTime="2017-03-29T17:29:06" maxSheetId="5" userName="Белова-АЮ" r:id="rId59" minRId="356" maxRId="361">
    <sheetIdMap count="4">
      <sheetId val="1"/>
      <sheetId val="2"/>
      <sheetId val="3"/>
      <sheetId val="4"/>
    </sheetIdMap>
  </header>
  <header guid="{C29AE91A-CAA5-45F1-8215-DF6ECB4433B6}" dateTime="2017-03-29T17:30:53" maxSheetId="5" userName="Белова-АЮ" r:id="rId60" minRId="362" maxRId="367">
    <sheetIdMap count="4">
      <sheetId val="1"/>
      <sheetId val="2"/>
      <sheetId val="3"/>
      <sheetId val="4"/>
    </sheetIdMap>
  </header>
  <header guid="{BB437ABB-E529-47B6-8B9C-9BA7B16BB4CE}" dateTime="2017-03-29T17:32:12" maxSheetId="5" userName="Белова-АЮ" r:id="rId61" minRId="368" maxRId="373">
    <sheetIdMap count="4">
      <sheetId val="1"/>
      <sheetId val="2"/>
      <sheetId val="3"/>
      <sheetId val="4"/>
    </sheetIdMap>
  </header>
  <header guid="{33F84E23-9D89-4368-B9EE-4CD7B4E900B4}" dateTime="2017-03-29T17:34:01" maxSheetId="5" userName="Белова-АЮ" r:id="rId62" minRId="374" maxRId="379">
    <sheetIdMap count="4">
      <sheetId val="1"/>
      <sheetId val="2"/>
      <sheetId val="3"/>
      <sheetId val="4"/>
    </sheetIdMap>
  </header>
  <header guid="{81FA016C-3CE5-4F01-8FA4-6FC4EC12557D}" dateTime="2017-03-29T17:39:17" maxSheetId="5" userName="Белова-АЮ" r:id="rId63" minRId="380" maxRId="391">
    <sheetIdMap count="4">
      <sheetId val="1"/>
      <sheetId val="2"/>
      <sheetId val="3"/>
      <sheetId val="4"/>
    </sheetIdMap>
  </header>
  <header guid="{3F9E8956-C968-4F70-92AE-5143433BEBE7}" dateTime="2017-03-29T17:41:40" maxSheetId="5" userName="Белова-АЮ" r:id="rId64" minRId="392" maxRId="398">
    <sheetIdMap count="4">
      <sheetId val="1"/>
      <sheetId val="2"/>
      <sheetId val="3"/>
      <sheetId val="4"/>
    </sheetIdMap>
  </header>
  <header guid="{B459EEB4-5939-47F2-9FB3-E57BA16B6770}" dateTime="2017-03-29T17:43:47" maxSheetId="5" userName="Белова-АЮ" r:id="rId65" minRId="399" maxRId="405">
    <sheetIdMap count="4">
      <sheetId val="1"/>
      <sheetId val="2"/>
      <sheetId val="3"/>
      <sheetId val="4"/>
    </sheetIdMap>
  </header>
  <header guid="{012EE808-3B24-4FC6-98CD-8F959E9A09F6}" dateTime="2017-03-29T17:45:04" maxSheetId="5" userName="Белова-АЮ" r:id="rId66" minRId="406" maxRId="411">
    <sheetIdMap count="4">
      <sheetId val="1"/>
      <sheetId val="2"/>
      <sheetId val="3"/>
      <sheetId val="4"/>
    </sheetIdMap>
  </header>
  <header guid="{8BBE73C2-F758-4C8A-B578-038C94726BA6}" dateTime="2017-03-29T17:46:13" maxSheetId="5" userName="Белова-АЮ" r:id="rId67" minRId="412" maxRId="417">
    <sheetIdMap count="4">
      <sheetId val="1"/>
      <sheetId val="2"/>
      <sheetId val="3"/>
      <sheetId val="4"/>
    </sheetIdMap>
  </header>
  <header guid="{754F35F3-60AA-4D2E-A12C-DC786B1A6B48}" dateTime="2017-03-29T17:52:42" maxSheetId="5" userName="Белова-АЮ" r:id="rId68" minRId="418" maxRId="448">
    <sheetIdMap count="4">
      <sheetId val="1"/>
      <sheetId val="2"/>
      <sheetId val="3"/>
      <sheetId val="4"/>
    </sheetIdMap>
  </header>
  <header guid="{CFE7CDB4-4C39-4AC7-BAFF-C2B271ABEF94}" dateTime="2017-03-29T17:54:01" maxSheetId="5" userName="Белова-АЮ" r:id="rId69" minRId="449" maxRId="454">
    <sheetIdMap count="4">
      <sheetId val="1"/>
      <sheetId val="2"/>
      <sheetId val="3"/>
      <sheetId val="4"/>
    </sheetIdMap>
  </header>
  <header guid="{2A42AF98-2A9F-4FE8-8797-7B32A7121C14}" dateTime="2017-03-29T17:55:07" maxSheetId="5" userName="Белова-АЮ" r:id="rId70" minRId="455" maxRId="460">
    <sheetIdMap count="4">
      <sheetId val="1"/>
      <sheetId val="2"/>
      <sheetId val="3"/>
      <sheetId val="4"/>
    </sheetIdMap>
  </header>
  <header guid="{4541296D-394D-415D-8399-6D23D8B366B8}" dateTime="2017-03-29T17:56:10" maxSheetId="5" userName="Белова-АЮ" r:id="rId71" minRId="461" maxRId="466">
    <sheetIdMap count="4">
      <sheetId val="1"/>
      <sheetId val="2"/>
      <sheetId val="3"/>
      <sheetId val="4"/>
    </sheetIdMap>
  </header>
  <header guid="{72492B81-8704-4172-A321-94F87FA5FB76}" dateTime="2017-03-29T17:57:23" maxSheetId="5" userName="Белова-АЮ" r:id="rId72" minRId="467" maxRId="472">
    <sheetIdMap count="4">
      <sheetId val="1"/>
      <sheetId val="2"/>
      <sheetId val="3"/>
      <sheetId val="4"/>
    </sheetIdMap>
  </header>
  <header guid="{258283CA-E968-4D8C-965D-A80EEBAB4BDC}" dateTime="2017-03-29T17:59:19" maxSheetId="5" userName="Белова-АЮ" r:id="rId73" minRId="473" maxRId="482">
    <sheetIdMap count="4">
      <sheetId val="1"/>
      <sheetId val="2"/>
      <sheetId val="3"/>
      <sheetId val="4"/>
    </sheetIdMap>
  </header>
  <header guid="{B00E2323-8ED0-49EB-A245-3CE529D3DFCE}" dateTime="2017-03-29T18:00:41" maxSheetId="5" userName="Белова-АЮ" r:id="rId74" minRId="483" maxRId="490">
    <sheetIdMap count="4">
      <sheetId val="1"/>
      <sheetId val="2"/>
      <sheetId val="3"/>
      <sheetId val="4"/>
    </sheetIdMap>
  </header>
  <header guid="{E9D02937-FFC2-4480-BA2C-AA6F1B184F3F}" dateTime="2017-03-29T18:03:01" maxSheetId="5" userName="Белова-АЮ" r:id="rId75" minRId="491" maxRId="502">
    <sheetIdMap count="4">
      <sheetId val="1"/>
      <sheetId val="2"/>
      <sheetId val="3"/>
      <sheetId val="4"/>
    </sheetIdMap>
  </header>
  <header guid="{5BE01FE2-1496-4001-BA5B-7274FE7BF877}" dateTime="2017-03-29T18:04:12" maxSheetId="5" userName="Белова-АЮ" r:id="rId76" minRId="503" maxRId="508">
    <sheetIdMap count="4">
      <sheetId val="1"/>
      <sheetId val="2"/>
      <sheetId val="3"/>
      <sheetId val="4"/>
    </sheetIdMap>
  </header>
  <header guid="{3399BFC7-6D2A-4E27-8159-881CA7592331}" dateTime="2017-03-29T18:06:28" maxSheetId="5" userName="Белова-АЮ" r:id="rId77" minRId="509" maxRId="520">
    <sheetIdMap count="4">
      <sheetId val="1"/>
      <sheetId val="2"/>
      <sheetId val="3"/>
      <sheetId val="4"/>
    </sheetIdMap>
  </header>
  <header guid="{91FC05E2-E6C2-465C-B4DC-E45EEA187B1C}" dateTime="2017-03-29T18:08:38" maxSheetId="5" userName="Белова-АЮ" r:id="rId78" minRId="521" maxRId="532">
    <sheetIdMap count="4">
      <sheetId val="1"/>
      <sheetId val="2"/>
      <sheetId val="3"/>
      <sheetId val="4"/>
    </sheetIdMap>
  </header>
  <header guid="{3ED428B7-06D7-45CD-945F-27D0B131586D}" dateTime="2017-03-29T18:09:43" maxSheetId="5" userName="Белова-АЮ" r:id="rId79" minRId="533" maxRId="538">
    <sheetIdMap count="4">
      <sheetId val="1"/>
      <sheetId val="2"/>
      <sheetId val="3"/>
      <sheetId val="4"/>
    </sheetIdMap>
  </header>
  <header guid="{F2ABAC99-F222-408F-9B6C-1DA70614C7AF}" dateTime="2017-03-29T18:11:35" maxSheetId="5" userName="Белова-АЮ" r:id="rId80" minRId="539" maxRId="550">
    <sheetIdMap count="4">
      <sheetId val="1"/>
      <sheetId val="2"/>
      <sheetId val="3"/>
      <sheetId val="4"/>
    </sheetIdMap>
  </header>
  <header guid="{4628B407-8B8E-4CD7-B2D8-EAAD4E2DA3B8}" dateTime="2017-03-29T18:15:25" maxSheetId="5" userName="Белова-АЮ" r:id="rId81" minRId="551" maxRId="568">
    <sheetIdMap count="4">
      <sheetId val="1"/>
      <sheetId val="2"/>
      <sheetId val="3"/>
      <sheetId val="4"/>
    </sheetIdMap>
  </header>
  <header guid="{BD328CCB-48A6-47C3-8C1A-F36078A9D30E}" dateTime="2017-03-29T18:16:09" maxSheetId="5" userName="Белова-АЮ" r:id="rId82" minRId="569" maxRId="574">
    <sheetIdMap count="4">
      <sheetId val="1"/>
      <sheetId val="2"/>
      <sheetId val="3"/>
      <sheetId val="4"/>
    </sheetIdMap>
  </header>
  <header guid="{40E171A5-34F5-47B3-B663-070BB237439A}" dateTime="2017-03-29T18:17:05" maxSheetId="5" userName="Белова-АЮ" r:id="rId83" minRId="575" maxRId="580">
    <sheetIdMap count="4">
      <sheetId val="1"/>
      <sheetId val="2"/>
      <sheetId val="3"/>
      <sheetId val="4"/>
    </sheetIdMap>
  </header>
  <header guid="{5E21FF64-2733-4E41-9D99-FEA6E35EEA05}" dateTime="2017-03-29T18:24:21" maxSheetId="5" userName="Белова-АЮ" r:id="rId84" minRId="581" maxRId="607">
    <sheetIdMap count="4">
      <sheetId val="1"/>
      <sheetId val="2"/>
      <sheetId val="3"/>
      <sheetId val="4"/>
    </sheetIdMap>
  </header>
  <header guid="{B8621851-94B7-40CB-ABF1-E7367C16B110}" dateTime="2017-03-29T18:25:19" maxSheetId="5" userName="Белова-АЮ" r:id="rId85" minRId="608" maxRId="613">
    <sheetIdMap count="4">
      <sheetId val="1"/>
      <sheetId val="2"/>
      <sheetId val="3"/>
      <sheetId val="4"/>
    </sheetIdMap>
  </header>
  <header guid="{C0A818D1-D0E5-44DA-AEFC-49CCEFFD74D6}" dateTime="2017-03-29T18:26:09" maxSheetId="5" userName="Белова-АЮ" r:id="rId86" minRId="614" maxRId="619">
    <sheetIdMap count="4">
      <sheetId val="1"/>
      <sheetId val="2"/>
      <sheetId val="3"/>
      <sheetId val="4"/>
    </sheetIdMap>
  </header>
  <header guid="{5CBEBCF9-CB90-49FB-B2AE-87780D741591}" dateTime="2017-03-29T18:27:22" maxSheetId="5" userName="Белова-АЮ" r:id="rId87" minRId="620" maxRId="625">
    <sheetIdMap count="4">
      <sheetId val="1"/>
      <sheetId val="2"/>
      <sheetId val="3"/>
      <sheetId val="4"/>
    </sheetIdMap>
  </header>
  <header guid="{2BDCB57B-D4C9-4C1D-B4CB-2F5FB1025BC2}" dateTime="2017-03-29T18:29:06" maxSheetId="5" userName="Белова-АЮ" r:id="rId88" minRId="626" maxRId="637">
    <sheetIdMap count="4">
      <sheetId val="1"/>
      <sheetId val="2"/>
      <sheetId val="3"/>
      <sheetId val="4"/>
    </sheetIdMap>
  </header>
  <header guid="{0B99DC28-47D2-4DF3-8CF6-D861864EDE27}" dateTime="2017-03-29T18:31:03" maxSheetId="5" userName="Белова-АЮ" r:id="rId89" minRId="638" maxRId="643">
    <sheetIdMap count="4">
      <sheetId val="1"/>
      <sheetId val="2"/>
      <sheetId val="3"/>
      <sheetId val="4"/>
    </sheetIdMap>
  </header>
  <header guid="{981AAA2E-2916-4AEE-9C00-7796C2D462A0}" dateTime="2017-03-29T18:33:49" maxSheetId="5" userName="Белова-АЮ" r:id="rId90" minRId="644" maxRId="649">
    <sheetIdMap count="4">
      <sheetId val="1"/>
      <sheetId val="2"/>
      <sheetId val="3"/>
      <sheetId val="4"/>
    </sheetIdMap>
  </header>
  <header guid="{ECF7B994-852A-419E-AACC-029DCB21CB17}" dateTime="2017-03-29T18:37:35" maxSheetId="5" userName="Белова-АЮ" r:id="rId91" minRId="650" maxRId="665">
    <sheetIdMap count="4">
      <sheetId val="1"/>
      <sheetId val="2"/>
      <sheetId val="3"/>
      <sheetId val="4"/>
    </sheetIdMap>
  </header>
  <header guid="{22ED560C-53D6-438D-8DB1-28081F9DBC5D}" dateTime="2017-03-29T18:39:06" maxSheetId="5" userName="Белова-АЮ" r:id="rId92" minRId="666" maxRId="673">
    <sheetIdMap count="4">
      <sheetId val="1"/>
      <sheetId val="2"/>
      <sheetId val="3"/>
      <sheetId val="4"/>
    </sheetIdMap>
  </header>
  <header guid="{30E58EF5-0591-49B5-BF52-BFB697CC6BA6}" dateTime="2017-03-29T18:40:04" maxSheetId="5" userName="Белова-АЮ" r:id="rId93" minRId="674" maxRId="677">
    <sheetIdMap count="4">
      <sheetId val="1"/>
      <sheetId val="2"/>
      <sheetId val="3"/>
      <sheetId val="4"/>
    </sheetIdMap>
  </header>
  <header guid="{1BC6F5AD-F125-428B-A7B9-5AE1CC9C536F}" dateTime="2017-03-29T18:41:19" maxSheetId="5" userName="Белова-АЮ" r:id="rId94" minRId="678" maxRId="685">
    <sheetIdMap count="4">
      <sheetId val="1"/>
      <sheetId val="2"/>
      <sheetId val="3"/>
      <sheetId val="4"/>
    </sheetIdMap>
  </header>
  <header guid="{1642D9AD-D1C5-4A89-A8E7-96766933A3A5}" dateTime="2017-03-29T18:42:11" maxSheetId="5" userName="Белова-АЮ" r:id="rId95" minRId="686" maxRId="691">
    <sheetIdMap count="4">
      <sheetId val="1"/>
      <sheetId val="2"/>
      <sheetId val="3"/>
      <sheetId val="4"/>
    </sheetIdMap>
  </header>
  <header guid="{4D0C267F-AE6F-4CA6-B969-A85D09F50B91}" dateTime="2017-03-29T18:43:27" maxSheetId="5" userName="Белова-АЮ" r:id="rId96" minRId="692" maxRId="698">
    <sheetIdMap count="4">
      <sheetId val="1"/>
      <sheetId val="2"/>
      <sheetId val="3"/>
      <sheetId val="4"/>
    </sheetIdMap>
  </header>
  <header guid="{483E72B0-EABA-42A8-B711-137DD7998082}" dateTime="2017-03-29T18:45:35" maxSheetId="5" userName="Белова-АЮ" r:id="rId97" minRId="699" maxRId="710">
    <sheetIdMap count="4">
      <sheetId val="1"/>
      <sheetId val="2"/>
      <sheetId val="3"/>
      <sheetId val="4"/>
    </sheetIdMap>
  </header>
  <header guid="{043F3047-FC67-4EC2-8F99-10BE4FDBFAB0}" dateTime="2017-03-29T18:46:21" maxSheetId="5" userName="Белова-АЮ" r:id="rId98" minRId="711">
    <sheetIdMap count="4">
      <sheetId val="1"/>
      <sheetId val="2"/>
      <sheetId val="3"/>
      <sheetId val="4"/>
    </sheetIdMap>
  </header>
  <header guid="{F13A2BEB-8452-4A67-B65D-E69DB3CA47F0}" dateTime="2017-03-29T18:49:03" maxSheetId="5" userName="Белова-АЮ" r:id="rId99" minRId="712" maxRId="723">
    <sheetIdMap count="4">
      <sheetId val="1"/>
      <sheetId val="2"/>
      <sheetId val="3"/>
      <sheetId val="4"/>
    </sheetIdMap>
  </header>
  <header guid="{D262E24F-E145-49F3-B8C0-28DC6B1577CA}" dateTime="2017-03-29T18:51:13" maxSheetId="5" userName="Белова-АЮ" r:id="rId100" minRId="724" maxRId="729">
    <sheetIdMap count="4">
      <sheetId val="1"/>
      <sheetId val="2"/>
      <sheetId val="3"/>
      <sheetId val="4"/>
    </sheetIdMap>
  </header>
  <header guid="{53F5A975-7B70-4FF2-A7AC-AD516BF285BB}" dateTime="2017-03-29T19:59:27" maxSheetId="5" userName="Работа" r:id="rId101" minRId="730" maxRId="1307">
    <sheetIdMap count="4">
      <sheetId val="1"/>
      <sheetId val="2"/>
      <sheetId val="3"/>
      <sheetId val="4"/>
    </sheetIdMap>
  </header>
  <header guid="{20D9D231-DCD0-4650-A58A-0FBDDEC7826A}" dateTime="2017-03-30T08:25:26" maxSheetId="5" userName="Белова-АЮ" r:id="rId102">
    <sheetIdMap count="4">
      <sheetId val="1"/>
      <sheetId val="2"/>
      <sheetId val="3"/>
      <sheetId val="4"/>
    </sheetIdMap>
  </header>
  <header guid="{D1DD8B6F-94BB-4D25-B626-912ACDB6FB4B}" dateTime="2017-03-30T08:27:18" maxSheetId="5" userName="Белова-АЮ" r:id="rId103" minRId="1308" maxRId="1313">
    <sheetIdMap count="4">
      <sheetId val="1"/>
      <sheetId val="2"/>
      <sheetId val="3"/>
      <sheetId val="4"/>
    </sheetIdMap>
  </header>
  <header guid="{3D75BD32-C79D-4DC5-9B0E-C3A86058F3ED}" dateTime="2017-03-30T08:32:28" maxSheetId="5" userName="Белова-АЮ" r:id="rId104" minRId="1314" maxRId="1318">
    <sheetIdMap count="4">
      <sheetId val="1"/>
      <sheetId val="2"/>
      <sheetId val="3"/>
      <sheetId val="4"/>
    </sheetIdMap>
  </header>
  <header guid="{2ACAA690-1680-42D6-BA9A-61D932979A9F}" dateTime="2017-03-30T08:33:45" maxSheetId="5" userName="Белова-АЮ" r:id="rId105" minRId="1319">
    <sheetIdMap count="4">
      <sheetId val="1"/>
      <sheetId val="2"/>
      <sheetId val="3"/>
      <sheetId val="4"/>
    </sheetIdMap>
  </header>
  <header guid="{3F398AD0-EB99-4DFC-9262-19FEFF056E9D}" dateTime="2017-03-30T09:25:22" maxSheetId="5" userName="Белова-АЮ" r:id="rId106" minRId="1320" maxRId="1493">
    <sheetIdMap count="4">
      <sheetId val="1"/>
      <sheetId val="2"/>
      <sheetId val="3"/>
      <sheetId val="4"/>
    </sheetIdMap>
  </header>
  <header guid="{97B91D2D-EFEC-4C8D-957A-4C45A9BE251E}" dateTime="2017-03-30T09:32:19" maxSheetId="5" userName="Белова-АЮ" r:id="rId107" minRId="1494" maxRId="1513">
    <sheetIdMap count="4">
      <sheetId val="1"/>
      <sheetId val="2"/>
      <sheetId val="3"/>
      <sheetId val="4"/>
    </sheetIdMap>
  </header>
  <header guid="{45D9FCBC-2F1A-4C47-B99D-63B58B0C1842}" dateTime="2017-03-30T09:49:33" maxSheetId="5" userName="Белова-АЮ" r:id="rId108" minRId="1514" maxRId="1546">
    <sheetIdMap count="4">
      <sheetId val="1"/>
      <sheetId val="2"/>
      <sheetId val="3"/>
      <sheetId val="4"/>
    </sheetIdMap>
  </header>
  <header guid="{7C3C3957-B200-4FAF-BDA9-C2F0CD7268CF}" dateTime="2017-03-30T09:57:52" maxSheetId="5" userName="Белова-АЮ" r:id="rId109" minRId="1547" maxRId="1572">
    <sheetIdMap count="4">
      <sheetId val="1"/>
      <sheetId val="2"/>
      <sheetId val="3"/>
      <sheetId val="4"/>
    </sheetIdMap>
  </header>
  <header guid="{1C9EC3EF-1A26-455E-AAEE-195F017EE115}" dateTime="2017-03-30T10:04:20" maxSheetId="5" userName="Белова-АЮ" r:id="rId110" minRId="1573" maxRId="1588">
    <sheetIdMap count="4">
      <sheetId val="1"/>
      <sheetId val="2"/>
      <sheetId val="3"/>
      <sheetId val="4"/>
    </sheetIdMap>
  </header>
  <header guid="{34A0C893-0C1B-442F-A82B-3F6146251DD9}" dateTime="2017-03-30T10:11:03" maxSheetId="5" userName="Белова-АЮ" r:id="rId111" minRId="1589" maxRId="1614">
    <sheetIdMap count="4">
      <sheetId val="1"/>
      <sheetId val="2"/>
      <sheetId val="3"/>
      <sheetId val="4"/>
    </sheetIdMap>
  </header>
  <header guid="{9E94B091-4BE4-434E-BB00-D9C58245B075}" dateTime="2017-03-30T10:22:13" maxSheetId="5" userName="Белова-АЮ" r:id="rId112" minRId="1615" maxRId="1644">
    <sheetIdMap count="4">
      <sheetId val="1"/>
      <sheetId val="2"/>
      <sheetId val="3"/>
      <sheetId val="4"/>
    </sheetIdMap>
  </header>
  <header guid="{3BD41D21-BEDD-4D19-9CE5-CBA15C9F026B}" dateTime="2017-03-30T10:31:50" maxSheetId="5" userName="Белова-АЮ" r:id="rId113" minRId="1645" maxRId="1666">
    <sheetIdMap count="4">
      <sheetId val="1"/>
      <sheetId val="2"/>
      <sheetId val="3"/>
      <sheetId val="4"/>
    </sheetIdMap>
  </header>
  <header guid="{D11E7F09-7DFA-4973-8D14-1AD97D1125AC}" dateTime="2017-03-30T10:41:32" maxSheetId="5" userName="Белова-АЮ" r:id="rId114" minRId="1667" maxRId="1686">
    <sheetIdMap count="4">
      <sheetId val="1"/>
      <sheetId val="2"/>
      <sheetId val="3"/>
      <sheetId val="4"/>
    </sheetIdMap>
  </header>
  <header guid="{EDF0EE99-7137-426D-BF37-05B31009037D}" dateTime="2017-03-30T10:45:05" maxSheetId="5" userName="Белова-АЮ" r:id="rId115" minRId="1687" maxRId="1700">
    <sheetIdMap count="4">
      <sheetId val="1"/>
      <sheetId val="2"/>
      <sheetId val="3"/>
      <sheetId val="4"/>
    </sheetIdMap>
  </header>
  <header guid="{5116016F-4DD3-4720-8ECA-C45F625BDEC1}" dateTime="2017-03-30T10:52:53" maxSheetId="5" userName="Белова-АЮ" r:id="rId116" minRId="1701" maxRId="1724">
    <sheetIdMap count="4">
      <sheetId val="1"/>
      <sheetId val="2"/>
      <sheetId val="3"/>
      <sheetId val="4"/>
    </sheetIdMap>
  </header>
  <header guid="{9DA963FF-F4B8-455D-94C7-B6350EAE73CC}" dateTime="2017-03-30T10:55:15" maxSheetId="5" userName="Белова-АЮ" r:id="rId117" minRId="1725" maxRId="1738">
    <sheetIdMap count="4">
      <sheetId val="1"/>
      <sheetId val="2"/>
      <sheetId val="3"/>
      <sheetId val="4"/>
    </sheetIdMap>
  </header>
  <header guid="{CC3AFC9B-EEC6-4EC4-9BA4-80408EFB52A1}" dateTime="2017-03-30T11:16:27" maxSheetId="5" userName="Белова-АЮ" r:id="rId118" minRId="1739" maxRId="1788">
    <sheetIdMap count="4">
      <sheetId val="1"/>
      <sheetId val="2"/>
      <sheetId val="3"/>
      <sheetId val="4"/>
    </sheetIdMap>
  </header>
  <header guid="{57CCB203-7D13-42D2-A078-E16FFADFA443}" dateTime="2017-03-30T11:46:15" maxSheetId="5" userName="Белова-АЮ" r:id="rId119" minRId="1789" maxRId="1790">
    <sheetIdMap count="4">
      <sheetId val="1"/>
      <sheetId val="2"/>
      <sheetId val="3"/>
      <sheetId val="4"/>
    </sheetIdMap>
  </header>
  <header guid="{7A24010E-D2F4-44B7-AB1E-81DC6AA988FD}" dateTime="2017-03-30T13:54:34" maxSheetId="5" userName="Белова-АЮ" r:id="rId120" minRId="1791" maxRId="1793">
    <sheetIdMap count="4">
      <sheetId val="1"/>
      <sheetId val="2"/>
      <sheetId val="3"/>
      <sheetId val="4"/>
    </sheetIdMap>
  </header>
  <header guid="{BFE8CB82-3B36-4283-8965-B0BA569AC96D}" dateTime="2017-03-30T13:56:51" maxSheetId="5" userName="Белова-АЮ" r:id="rId121" minRId="1794">
    <sheetIdMap count="4">
      <sheetId val="1"/>
      <sheetId val="2"/>
      <sheetId val="3"/>
      <sheetId val="4"/>
    </sheetIdMap>
  </header>
  <header guid="{93594B52-9AAF-49F2-8216-66DC62BB4391}" dateTime="2017-03-30T13:58:04" maxSheetId="5" userName="Белова-АЮ" r:id="rId122" minRId="1795" maxRId="1796">
    <sheetIdMap count="4">
      <sheetId val="1"/>
      <sheetId val="2"/>
      <sheetId val="3"/>
      <sheetId val="4"/>
    </sheetIdMap>
  </header>
  <header guid="{8A3C6214-5CA7-4333-A03B-110E3B4F0FB3}" dateTime="2017-03-30T14:04:54" maxSheetId="5" userName="Белова-АЮ" r:id="rId123" minRId="1797" maxRId="1799">
    <sheetIdMap count="4">
      <sheetId val="1"/>
      <sheetId val="2"/>
      <sheetId val="3"/>
      <sheetId val="4"/>
    </sheetIdMap>
  </header>
  <header guid="{124E077D-C426-456E-9B62-73F8762FF698}" dateTime="2017-03-30T14:08:03" maxSheetId="5" userName="Белова-АЮ" r:id="rId124" minRId="1800" maxRId="1801">
    <sheetIdMap count="4">
      <sheetId val="1"/>
      <sheetId val="2"/>
      <sheetId val="3"/>
      <sheetId val="4"/>
    </sheetIdMap>
  </header>
  <header guid="{17B0B1C4-C9F3-48B0-8B4C-642E62D8250B}" dateTime="2017-03-30T14:13:11" maxSheetId="5" userName="Белова-АЮ" r:id="rId125" minRId="1802" maxRId="1803">
    <sheetIdMap count="4">
      <sheetId val="1"/>
      <sheetId val="2"/>
      <sheetId val="3"/>
      <sheetId val="4"/>
    </sheetIdMap>
  </header>
  <header guid="{6FBB453A-DC4C-41B6-8A5F-52D55662E00B}" dateTime="2017-03-30T14:14:57" maxSheetId="5" userName="Белова-АЮ" r:id="rId126" minRId="1804">
    <sheetIdMap count="4">
      <sheetId val="1"/>
      <sheetId val="2"/>
      <sheetId val="3"/>
      <sheetId val="4"/>
    </sheetIdMap>
  </header>
  <header guid="{FA9F9D05-8D12-4192-891E-2FD3C083AF7B}" dateTime="2017-03-30T14:15:45" maxSheetId="5" userName="Белова-АЮ" r:id="rId127">
    <sheetIdMap count="4">
      <sheetId val="1"/>
      <sheetId val="2"/>
      <sheetId val="3"/>
      <sheetId val="4"/>
    </sheetIdMap>
  </header>
  <header guid="{5382C8D7-ABA2-42DE-AF7A-6776B4BAE81D}" dateTime="2017-03-30T14:18:52" maxSheetId="5" userName="Белова-АЮ" r:id="rId128" minRId="1805">
    <sheetIdMap count="4">
      <sheetId val="1"/>
      <sheetId val="2"/>
      <sheetId val="3"/>
      <sheetId val="4"/>
    </sheetIdMap>
  </header>
  <header guid="{615422C1-A205-4C96-94A1-3410B89E6EEA}" dateTime="2017-03-30T14:23:12" maxSheetId="5" userName="Белова-АЮ" r:id="rId129" minRId="1806" maxRId="1807">
    <sheetIdMap count="4">
      <sheetId val="1"/>
      <sheetId val="2"/>
      <sheetId val="3"/>
      <sheetId val="4"/>
    </sheetIdMap>
  </header>
  <header guid="{A40E9BD4-57AB-465B-8427-1C1AA45B267B}" dateTime="2017-03-30T14:23:43" maxSheetId="5" userName="Белова-АЮ" r:id="rId130">
    <sheetIdMap count="4">
      <sheetId val="1"/>
      <sheetId val="2"/>
      <sheetId val="3"/>
      <sheetId val="4"/>
    </sheetIdMap>
  </header>
  <header guid="{1500C4DC-E20A-4D20-B9F7-EACD00FB7D80}" dateTime="2017-03-30T14:24:14" maxSheetId="5" userName="Белова-АЮ" r:id="rId131">
    <sheetIdMap count="4">
      <sheetId val="1"/>
      <sheetId val="2"/>
      <sheetId val="3"/>
      <sheetId val="4"/>
    </sheetIdMap>
  </header>
  <header guid="{F2DC3712-D5DF-4550-9BCC-09F852018332}" dateTime="2017-03-30T14:24:58" maxSheetId="5" userName="Белова-АЮ" r:id="rId132" minRId="1808" maxRId="1809">
    <sheetIdMap count="4">
      <sheetId val="1"/>
      <sheetId val="2"/>
      <sheetId val="3"/>
      <sheetId val="4"/>
    </sheetIdMap>
  </header>
  <header guid="{12535575-54B1-4AFC-A416-3766165674FB}" dateTime="2017-03-30T14:27:46" maxSheetId="5" userName="Белова-АЮ" r:id="rId133">
    <sheetIdMap count="4">
      <sheetId val="1"/>
      <sheetId val="2"/>
      <sheetId val="3"/>
      <sheetId val="4"/>
    </sheetIdMap>
  </header>
  <header guid="{63685D32-EC5F-4264-9DC1-09EAB57DF526}" dateTime="2017-03-30T14:28:10" maxSheetId="5" userName="Белова-АЮ" r:id="rId134">
    <sheetIdMap count="4">
      <sheetId val="1"/>
      <sheetId val="2"/>
      <sheetId val="3"/>
      <sheetId val="4"/>
    </sheetIdMap>
  </header>
  <header guid="{C774D25D-07AD-4141-9483-716C045CA3A5}" dateTime="2017-03-30T14:44:47" maxSheetId="5" userName="Белова-АЮ" r:id="rId135" minRId="1810" maxRId="1811">
    <sheetIdMap count="4">
      <sheetId val="1"/>
      <sheetId val="2"/>
      <sheetId val="3"/>
      <sheetId val="4"/>
    </sheetIdMap>
  </header>
  <header guid="{F550E5B9-DA18-4917-B720-C05ED9433750}" dateTime="2017-03-30T14:45:48" maxSheetId="5" userName="Белова-АЮ" r:id="rId136" minRId="1812" maxRId="1813">
    <sheetIdMap count="4">
      <sheetId val="1"/>
      <sheetId val="2"/>
      <sheetId val="3"/>
      <sheetId val="4"/>
    </sheetIdMap>
  </header>
  <header guid="{A231AB4D-C859-437A-81D0-811EA043CD0A}" dateTime="2017-03-30T14:46:22" maxSheetId="5" userName="Белова-АЮ" r:id="rId137" minRId="1814">
    <sheetIdMap count="4">
      <sheetId val="1"/>
      <sheetId val="2"/>
      <sheetId val="3"/>
      <sheetId val="4"/>
    </sheetIdMap>
  </header>
  <header guid="{949E6B7F-A902-4939-93D6-2F72C5372D5B}" dateTime="2017-03-30T14:47:24" maxSheetId="5" userName="Белова-АЮ" r:id="rId138">
    <sheetIdMap count="4">
      <sheetId val="1"/>
      <sheetId val="2"/>
      <sheetId val="3"/>
      <sheetId val="4"/>
    </sheetIdMap>
  </header>
  <header guid="{A9740BAF-4342-4721-ABA1-C8C7BD7E686A}" dateTime="2017-03-30T14:49:34" maxSheetId="5" userName="Белова-АЮ" r:id="rId139">
    <sheetIdMap count="4">
      <sheetId val="1"/>
      <sheetId val="2"/>
      <sheetId val="3"/>
      <sheetId val="4"/>
    </sheetIdMap>
  </header>
  <header guid="{BBCE41D4-B655-4C12-9B8C-E36C0CB4028F}" dateTime="2017-03-30T14:49:51" maxSheetId="5" userName="Белова-АЮ" r:id="rId140">
    <sheetIdMap count="4">
      <sheetId val="1"/>
      <sheetId val="2"/>
      <sheetId val="3"/>
      <sheetId val="4"/>
    </sheetIdMap>
  </header>
  <header guid="{3E597684-0FF5-49F9-A76B-7F06C390BDF5}" dateTime="2017-03-30T14:51:28" maxSheetId="5" userName="Белова-АЮ" r:id="rId141" minRId="1815" maxRId="1816">
    <sheetIdMap count="4">
      <sheetId val="1"/>
      <sheetId val="2"/>
      <sheetId val="3"/>
      <sheetId val="4"/>
    </sheetIdMap>
  </header>
  <header guid="{28D639A3-9F9E-402C-A39D-97382F49BE79}" dateTime="2017-03-30T16:00:46" maxSheetId="5" userName="Белова-АЮ" r:id="rId142">
    <sheetIdMap count="4">
      <sheetId val="1"/>
      <sheetId val="2"/>
      <sheetId val="3"/>
      <sheetId val="4"/>
    </sheetIdMap>
  </header>
  <header guid="{E71610AC-B75F-4EB4-9AA2-7ACB533E49A5}" dateTime="2017-03-30T16:27:50" maxSheetId="5" userName="Белова-АЮ" r:id="rId143">
    <sheetIdMap count="4">
      <sheetId val="1"/>
      <sheetId val="2"/>
      <sheetId val="3"/>
      <sheetId val="4"/>
    </sheetIdMap>
  </header>
  <header guid="{5EB4FC71-AE88-4A26-A606-53144C877D94}" dateTime="2017-03-30T19:04:29" maxSheetId="5" userName="Работа" r:id="rId144" minRId="1817" maxRId="3375">
    <sheetIdMap count="4">
      <sheetId val="1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1817" sId="3">
    <oc r="B2" t="inlineStr">
      <is>
        <t xml:space="preserve">Реестр актов приемки по ремонтной программе ООО "Горэлектросеть" за 2016 год, в части передачи электроэнергии </t>
      </is>
    </oc>
    <nc r="B2"/>
  </rcc>
  <rcc rId="1818" sId="3">
    <oc r="A5" t="inlineStr">
      <is>
        <t>№п.п</t>
      </is>
    </oc>
    <nc r="A5"/>
  </rcc>
  <rcc rId="1819" sId="3">
    <oc r="B5" t="inlineStr">
      <is>
        <t>Наименование объекта, мероприятия</t>
      </is>
    </oc>
    <nc r="B5"/>
  </rcc>
  <rcc rId="1820" sId="3">
    <oc r="C5" t="inlineStr">
      <is>
        <t>Наименование документа</t>
      </is>
    </oc>
    <nc r="C5"/>
  </rcc>
  <rcc rId="1821" sId="3">
    <oc r="D5" t="inlineStr">
      <is>
        <t>Кол-во листов</t>
      </is>
    </oc>
    <nc r="D5"/>
  </rcc>
  <rcc rId="1822" sId="3">
    <oc r="F5" t="inlineStr">
      <is>
        <t>Акт о приемке выполненных работ КС-2 и товарная накладная на давальческие материалы             (при наличии)</t>
      </is>
    </oc>
    <nc r="F5"/>
  </rcc>
  <rcc rId="1823" sId="3">
    <oc r="F6" t="inlineStr">
      <is>
        <t>Номер и дата</t>
      </is>
    </oc>
    <nc r="F6"/>
  </rcc>
  <rcc rId="1824" sId="3">
    <oc r="G6" t="inlineStr">
      <is>
        <t>Стоимость по акту без НДС, тыс.руб.</t>
      </is>
    </oc>
    <nc r="G6"/>
  </rcc>
  <rcc rId="1825" sId="3">
    <oc r="A7">
      <v>1</v>
    </oc>
    <nc r="A7"/>
  </rcc>
  <rcc rId="1826" sId="3">
    <oc r="B7" t="inlineStr">
      <is>
        <t>Ремонт фасада ТП-20 Кирова,7а</t>
      </is>
    </oc>
    <nc r="B7"/>
  </rcc>
  <rcc rId="1827" sId="3">
    <oc r="C7" t="inlineStr">
      <is>
        <t>Счет-фактура №117</t>
      </is>
    </oc>
    <nc r="C7"/>
  </rcc>
  <rcc rId="1828" sId="3">
    <oc r="D7">
      <v>5</v>
    </oc>
    <nc r="D7"/>
  </rcc>
  <rcc rId="1829" sId="3">
    <oc r="F7" t="inlineStr">
      <is>
        <t>5-14/16 от 10.06.2016</t>
      </is>
    </oc>
    <nc r="F7"/>
  </rcc>
  <rcc rId="1830" sId="3">
    <oc r="G7">
      <f>0.0712*1000</f>
    </oc>
    <nc r="G7"/>
  </rcc>
  <rcc rId="1831" sId="3">
    <oc r="A8">
      <v>2</v>
    </oc>
    <nc r="A8"/>
  </rcc>
  <rcc rId="1832" sId="3">
    <oc r="B8" t="inlineStr">
      <is>
        <t>Ремонт фасада ТП-428 Советской Армии,37</t>
      </is>
    </oc>
    <nc r="B8"/>
  </rcc>
  <rcc rId="1833" sId="3">
    <oc r="C8" t="inlineStr">
      <is>
        <t>Счет-фактура №120</t>
      </is>
    </oc>
    <nc r="C8"/>
  </rcc>
  <rcc rId="1834" sId="3">
    <oc r="D8">
      <v>5</v>
    </oc>
    <nc r="D8"/>
  </rcc>
  <rcc rId="1835" sId="3">
    <oc r="F8" t="inlineStr">
      <is>
        <t>3-15/16 от 10.06.2016</t>
      </is>
    </oc>
    <nc r="F8"/>
  </rcc>
  <rcc rId="1836" sId="3">
    <oc r="G8">
      <f>0.095674*1000</f>
    </oc>
    <nc r="G8"/>
  </rcc>
  <rcc rId="1837" sId="3">
    <oc r="A9">
      <v>3</v>
    </oc>
    <nc r="A9"/>
  </rcc>
  <rcc rId="1838" sId="3">
    <oc r="B9" t="inlineStr">
      <is>
        <t>Ремонт фасада ТП-440 Клименко,21А</t>
      </is>
    </oc>
    <nc r="B9"/>
  </rcc>
  <rcc rId="1839" sId="3">
    <oc r="C9" t="inlineStr">
      <is>
        <t>Счет-фактура №115</t>
      </is>
    </oc>
    <nc r="C9"/>
  </rcc>
  <rcc rId="1840" sId="3">
    <oc r="D9">
      <v>5</v>
    </oc>
    <nc r="D9"/>
  </rcc>
  <rcc rId="1841" sId="3">
    <oc r="F9" t="inlineStr">
      <is>
        <t>3-23/16 от 10.06.2016</t>
      </is>
    </oc>
    <nc r="F9"/>
  </rcc>
  <rcc rId="1842" sId="3">
    <oc r="G9">
      <f>0.095674*1000</f>
    </oc>
    <nc r="G9"/>
  </rcc>
  <rcc rId="1843" sId="3">
    <oc r="A10">
      <v>4</v>
    </oc>
    <nc r="A10"/>
  </rcc>
  <rcc rId="1844" sId="3">
    <oc r="B10" t="inlineStr">
      <is>
        <t>Ремонт фасада ТП-441 Клименко,27А</t>
      </is>
    </oc>
    <nc r="B10"/>
  </rcc>
  <rcc rId="1845" sId="3">
    <oc r="C10" t="inlineStr">
      <is>
        <t>Счет-фактура №116</t>
      </is>
    </oc>
    <nc r="C10"/>
  </rcc>
  <rcc rId="1846" sId="3">
    <oc r="D10">
      <v>5</v>
    </oc>
    <nc r="D10"/>
  </rcc>
  <rcc rId="1847" sId="3">
    <oc r="F10" t="inlineStr">
      <is>
        <t>3-19/16 от 10.06.2016</t>
      </is>
    </oc>
    <nc r="F10"/>
  </rcc>
  <rcc rId="1848" sId="3">
    <oc r="G10">
      <f>0.095674*1000</f>
    </oc>
    <nc r="G10"/>
  </rcc>
  <rcc rId="1849" sId="3">
    <oc r="A11">
      <v>5</v>
    </oc>
    <nc r="A11"/>
  </rcc>
  <rcc rId="1850" sId="3">
    <oc r="B11" t="inlineStr">
      <is>
        <t>Ремонт фасада ТП-498 Клименко,29б</t>
      </is>
    </oc>
    <nc r="B11"/>
  </rcc>
  <rcc rId="1851" sId="3">
    <oc r="C11" t="inlineStr">
      <is>
        <t>Счет-фактура №121</t>
      </is>
    </oc>
    <nc r="C11"/>
  </rcc>
  <rcc rId="1852" sId="3">
    <oc r="D11">
      <v>5</v>
    </oc>
    <nc r="D11"/>
  </rcc>
  <rcc rId="1853" sId="3">
    <oc r="F11" t="inlineStr">
      <is>
        <t>3-16/16 от 10.06.2016</t>
      </is>
    </oc>
    <nc r="F11"/>
  </rcc>
  <rcc rId="1854" sId="3">
    <oc r="G11">
      <f>0.095727*1000</f>
    </oc>
    <nc r="G11"/>
  </rcc>
  <rcc rId="1855" sId="3">
    <oc r="A12">
      <v>6</v>
    </oc>
    <nc r="A12"/>
  </rcc>
  <rcc rId="1856" sId="3">
    <oc r="B12" t="inlineStr">
      <is>
        <t>Ремонт фасада ТП-604 пр.Кузнецкстроевский,10А</t>
      </is>
    </oc>
    <nc r="B12"/>
  </rcc>
  <rcc rId="1857" sId="3">
    <oc r="C12" t="inlineStr">
      <is>
        <t>Счет-фактура №118</t>
      </is>
    </oc>
    <nc r="C12"/>
  </rcc>
  <rcc rId="1858" sId="3">
    <oc r="D12">
      <v>5</v>
    </oc>
    <nc r="D12"/>
  </rcc>
  <rcc rId="1859" sId="3">
    <oc r="F12" t="inlineStr">
      <is>
        <t>5-24/16 от 10.06.2016</t>
      </is>
    </oc>
    <nc r="F12"/>
  </rcc>
  <rcc rId="1860" sId="3">
    <oc r="G12">
      <f>0.069901*1000</f>
    </oc>
    <nc r="G12"/>
  </rcc>
  <rcc rId="1861" sId="3">
    <oc r="A13">
      <v>7</v>
    </oc>
    <nc r="A13"/>
  </rcc>
  <rcc rId="1862" sId="3">
    <oc r="B13" t="inlineStr">
      <is>
        <t>Ремонт фасада РП-26 Чернышова,14Б</t>
      </is>
    </oc>
    <nc r="B13"/>
  </rcc>
  <rcc rId="1863" sId="3">
    <oc r="C13" t="inlineStr">
      <is>
        <t>Счет-фактура №122</t>
      </is>
    </oc>
    <nc r="C13"/>
  </rcc>
  <rcc rId="1864" sId="3">
    <oc r="D13">
      <v>5</v>
    </oc>
    <nc r="D13"/>
  </rcc>
  <rcc rId="1865" sId="3">
    <oc r="F13" t="inlineStr">
      <is>
        <t>3-17/16 от 10.06.2016</t>
      </is>
    </oc>
    <nc r="F13"/>
  </rcc>
  <rcc rId="1866" sId="3">
    <oc r="G13">
      <f>0.095674*1000</f>
    </oc>
    <nc r="G13"/>
  </rcc>
  <rcc rId="1867" sId="3">
    <oc r="A14">
      <v>8</v>
    </oc>
    <nc r="A14"/>
  </rcc>
  <rcc rId="1868" sId="3">
    <oc r="B14" t="inlineStr">
      <is>
        <t>Ремонт фасада РП-39 Звездова,6А</t>
      </is>
    </oc>
    <nc r="B14"/>
  </rcc>
  <rcc rId="1869" sId="3">
    <oc r="C14" t="inlineStr">
      <is>
        <t>Счет-фактура №119</t>
      </is>
    </oc>
    <nc r="C14"/>
  </rcc>
  <rcc rId="1870" sId="3">
    <oc r="D14">
      <v>5</v>
    </oc>
    <nc r="D14"/>
  </rcc>
  <rcc rId="1871" sId="3">
    <oc r="F14" t="inlineStr">
      <is>
        <t>4-18/16 от 10.06.2016</t>
      </is>
    </oc>
    <nc r="F14"/>
  </rcc>
  <rcc rId="1872" sId="3">
    <oc r="G14">
      <f>0.118267*1000</f>
    </oc>
    <nc r="G14"/>
  </rcc>
  <rcc rId="1873" sId="3">
    <oc r="A15">
      <v>9</v>
    </oc>
    <nc r="A15"/>
  </rcc>
  <rcc rId="1874" sId="3">
    <oc r="B15" t="inlineStr">
      <is>
        <t>Ремонт фасада ТП-3 ул. Орджоникидзе, 26-Б</t>
      </is>
    </oc>
    <nc r="B15"/>
  </rcc>
  <rcc rId="1875" sId="3">
    <oc r="C15" t="inlineStr">
      <is>
        <t>Счет-фактура №667</t>
      </is>
    </oc>
    <nc r="C15"/>
  </rcc>
  <rcc rId="1876" sId="3">
    <oc r="D15">
      <v>4</v>
    </oc>
    <nc r="D15"/>
  </rcc>
  <rcc rId="1877" sId="3">
    <oc r="F15" t="inlineStr">
      <is>
        <t>5-214/15 от 30.12.2016</t>
      </is>
    </oc>
    <nc r="F15"/>
  </rcc>
  <rcc rId="1878" sId="3">
    <oc r="G15">
      <f>0.0728*1000</f>
    </oc>
    <nc r="G15"/>
  </rcc>
  <rcc rId="1879" sId="3">
    <oc r="A16">
      <v>10</v>
    </oc>
    <nc r="A16"/>
  </rcc>
  <rcc rId="1880" sId="3">
    <oc r="B16" t="inlineStr">
      <is>
        <t>Капитальный ремонт фасада ТП7 ул. Суворова, 7-А</t>
      </is>
    </oc>
    <nc r="B16"/>
  </rcc>
  <rcc rId="1881" sId="3">
    <oc r="C16" t="inlineStr">
      <is>
        <t>Счет-фактура №668</t>
      </is>
    </oc>
    <nc r="C16"/>
  </rcc>
  <rcc rId="1882" sId="3">
    <oc r="D16">
      <v>4</v>
    </oc>
    <nc r="D16"/>
  </rcc>
  <rcc rId="1883" sId="3">
    <oc r="F16" t="inlineStr">
      <is>
        <t>5-202/15 от 30.12.2016</t>
      </is>
    </oc>
    <nc r="F16"/>
  </rcc>
  <rcc rId="1884" sId="3">
    <oc r="G16">
      <f>0.051923*1000</f>
    </oc>
    <nc r="G16"/>
  </rcc>
  <rcc rId="1885" sId="3">
    <oc r="A17">
      <v>11</v>
    </oc>
    <nc r="A17"/>
  </rcc>
  <rcc rId="1886" sId="3">
    <oc r="B17" t="inlineStr">
      <is>
        <t>Капитальный ремонт фасада ТП15 ул. Кирова, 8-А</t>
      </is>
    </oc>
    <nc r="B17"/>
  </rcc>
  <rcc rId="1887" sId="3">
    <oc r="C17" t="inlineStr">
      <is>
        <t>Счет-фактура №669</t>
      </is>
    </oc>
    <nc r="C17"/>
  </rcc>
  <rcc rId="1888" sId="3">
    <oc r="D17">
      <v>4</v>
    </oc>
    <nc r="D17"/>
  </rcc>
  <rcc rId="1889" sId="3">
    <oc r="F17" t="inlineStr">
      <is>
        <t>5-194/15 от 30.12.2016</t>
      </is>
    </oc>
    <nc r="F17"/>
  </rcc>
  <rcc rId="1890" sId="3">
    <oc r="G17">
      <f>0.063771*1000</f>
    </oc>
    <nc r="G17"/>
  </rcc>
  <rcc rId="1891" sId="3">
    <oc r="A18">
      <v>12</v>
    </oc>
    <nc r="A18"/>
  </rcc>
  <rcc rId="1892" sId="3">
    <oc r="B18" t="inlineStr">
      <is>
        <t>Капитальный ремонт (замена) дверей в РУ-6 кВ (1,5х2,4) ТП-28</t>
      </is>
    </oc>
    <nc r="B18"/>
  </rcc>
  <rcc rId="1893" sId="3">
    <oc r="C18" t="inlineStr">
      <is>
        <t>Счет-фактура №670</t>
      </is>
    </oc>
    <nc r="C18"/>
  </rcc>
  <rcc rId="1894" sId="3">
    <oc r="D18">
      <v>6</v>
    </oc>
    <nc r="D18"/>
  </rcc>
  <rcc rId="1895" sId="3">
    <oc r="F18" t="inlineStr">
      <is>
        <t>5-269/15 от 30.12.2016</t>
      </is>
    </oc>
    <nc r="F18"/>
  </rcc>
  <rcc rId="1896" sId="3">
    <oc r="G18">
      <f>0.051308*1000</f>
    </oc>
    <nc r="G18"/>
  </rcc>
  <rcc rId="1897" sId="3">
    <oc r="A19">
      <v>13</v>
    </oc>
    <nc r="A19"/>
  </rcc>
  <rcc rId="1898" sId="3">
    <oc r="B19" t="inlineStr">
      <is>
        <t>Ремонт фасада ТП-29 пр. Металлургов, 46-Б</t>
      </is>
    </oc>
    <nc r="B19"/>
  </rcc>
  <rcc rId="1899" sId="3">
    <oc r="C19" t="inlineStr">
      <is>
        <t>Счет-фактура №671</t>
      </is>
    </oc>
    <nc r="C19"/>
  </rcc>
  <rcc rId="1900" sId="3">
    <oc r="D19">
      <v>4</v>
    </oc>
    <nc r="D19"/>
  </rcc>
  <rcc rId="1901" sId="3">
    <oc r="F19" t="inlineStr">
      <is>
        <t>5-213/15 от 30.12.2016</t>
      </is>
    </oc>
    <nc r="F19"/>
  </rcc>
  <rcc rId="1902" sId="3">
    <oc r="G19">
      <f>0.075516*1000</f>
    </oc>
    <nc r="G19"/>
  </rcc>
  <rcc rId="1903" sId="3">
    <oc r="A20">
      <v>14</v>
    </oc>
    <nc r="A20"/>
  </rcc>
  <rcc rId="1904" sId="3">
    <oc r="B20" t="inlineStr">
      <is>
        <t>Капитальный ремонт фасада ТП-31 пр. Металлургов, 51-А</t>
      </is>
    </oc>
    <nc r="B20"/>
  </rcc>
  <rcc rId="1905" sId="3">
    <oc r="C20" t="inlineStr">
      <is>
        <t>Счет-фактура №672</t>
      </is>
    </oc>
    <nc r="C20"/>
  </rcc>
  <rcc rId="1906" sId="3">
    <oc r="D20">
      <v>5</v>
    </oc>
    <nc r="D20"/>
  </rcc>
  <rcc rId="1907" sId="3">
    <oc r="F20" t="inlineStr">
      <is>
        <t>5-298/15 от 30.12.2016</t>
      </is>
    </oc>
    <nc r="F20"/>
  </rcc>
  <rcc rId="1908" sId="3">
    <oc r="G20">
      <f>0.160788*1000</f>
    </oc>
    <nc r="G20"/>
  </rcc>
  <rcc rId="1909" sId="3">
    <oc r="A21">
      <v>15</v>
    </oc>
    <nc r="A21"/>
  </rcc>
  <rcc rId="1910" sId="3">
    <oc r="B21" t="inlineStr">
      <is>
        <t>Капитальный ремонт кровли ТП-31 пр-т Металлургов, 51-А</t>
      </is>
    </oc>
    <nc r="B21"/>
  </rcc>
  <rcc rId="1911" sId="3">
    <oc r="C21" t="inlineStr">
      <is>
        <t>Счет-фактура №673</t>
      </is>
    </oc>
    <nc r="C21"/>
  </rcc>
  <rcc rId="1912" sId="3">
    <oc r="D21">
      <v>9</v>
    </oc>
    <nc r="D21"/>
  </rcc>
  <rcc rId="1913" sId="3">
    <oc r="F21" t="inlineStr">
      <is>
        <t>5-59/16 от 30.12.2016</t>
      </is>
    </oc>
    <nc r="F21"/>
  </rcc>
  <rcc rId="1914" sId="3">
    <oc r="G21">
      <f>0.171592*1000</f>
    </oc>
    <nc r="G21"/>
  </rcc>
  <rcc rId="1915" sId="3">
    <oc r="A22">
      <v>16</v>
    </oc>
    <nc r="A22"/>
  </rcc>
  <rcc rId="1916" sId="3">
    <oc r="B22" t="inlineStr">
      <is>
        <t>Капитальный ремонт (замена) дверей в РУ-6 кВ (1,5х3,3), РУ-0,4 кВ (1,0х2,5) ТП-32</t>
      </is>
    </oc>
    <nc r="B22"/>
  </rcc>
  <rcc rId="1917" sId="3">
    <oc r="C22" t="inlineStr">
      <is>
        <t>Счет-фактура №674</t>
      </is>
    </oc>
    <nc r="C22"/>
  </rcc>
  <rcc rId="1918" sId="3">
    <oc r="D22">
      <v>6</v>
    </oc>
    <nc r="D22"/>
  </rcc>
  <rcc rId="1919" sId="3">
    <oc r="F22" t="inlineStr">
      <is>
        <t>5-266/15 от 30.12.2016</t>
      </is>
    </oc>
    <nc r="F22"/>
  </rcc>
  <rcc rId="1920" sId="3">
    <oc r="G22">
      <f>0.081855*1000</f>
    </oc>
    <nc r="G22"/>
  </rcc>
  <rcc rId="1921" sId="3">
    <oc r="A23">
      <v>17</v>
    </oc>
    <nc r="A23"/>
  </rcc>
  <rcc rId="1922" sId="3">
    <oc r="B23" t="inlineStr">
      <is>
        <t>Капитальный ремонт фасада ТП-34 пр. Металлургов, 52-А</t>
      </is>
    </oc>
    <nc r="B23"/>
  </rcc>
  <rcc rId="1923" sId="3">
    <oc r="C23" t="inlineStr">
      <is>
        <t>Счет-фактура №675</t>
      </is>
    </oc>
    <nc r="C23"/>
  </rcc>
  <rcc rId="1924" sId="3">
    <oc r="D23">
      <v>4</v>
    </oc>
    <nc r="D23"/>
  </rcc>
  <rcc rId="1925" sId="3">
    <oc r="F23" t="inlineStr">
      <is>
        <t>5-300/15 от 30.12.2016</t>
      </is>
    </oc>
    <nc r="F23"/>
  </rcc>
  <rcc rId="1926" sId="3">
    <oc r="G23">
      <f>0.126572*1000</f>
    </oc>
    <nc r="G23"/>
  </rcc>
  <rcc rId="1927" sId="3">
    <oc r="A24">
      <v>18</v>
    </oc>
    <nc r="A24"/>
  </rcc>
  <rcc rId="1928" sId="3">
    <oc r="B24" t="inlineStr">
      <is>
        <t>Капитальный ремонт кровли ТП-34 пр-т Металлургов, 52-А</t>
      </is>
    </oc>
    <nc r="B24"/>
  </rcc>
  <rcc rId="1929" sId="3">
    <oc r="C24" t="inlineStr">
      <is>
        <t>Счет-фактура №676</t>
      </is>
    </oc>
    <nc r="C24"/>
  </rcc>
  <rcc rId="1930" sId="3">
    <oc r="D24">
      <v>7</v>
    </oc>
    <nc r="D24"/>
  </rcc>
  <rcc rId="1931" sId="3">
    <oc r="F24" t="inlineStr">
      <is>
        <t>5-60/16 от 30.12.2016</t>
      </is>
    </oc>
    <nc r="F24"/>
  </rcc>
  <rcc rId="1932" sId="3">
    <oc r="G24">
      <f>0.183851*1000</f>
    </oc>
    <nc r="G24"/>
  </rcc>
  <rcc rId="1933" sId="3">
    <oc r="A25">
      <v>19</v>
    </oc>
    <nc r="A25"/>
  </rcc>
  <rcc rId="1934" sId="3">
    <oc r="B25" t="inlineStr">
      <is>
        <t>Капитальный ремонт фасада ТП-37, 25 лет Октября, 4-А</t>
      </is>
    </oc>
    <nc r="B25"/>
  </rcc>
  <rcc rId="1935" sId="3">
    <oc r="C25" t="inlineStr">
      <is>
        <t>Счет-фактура №677</t>
      </is>
    </oc>
    <nc r="C25"/>
  </rcc>
  <rcc rId="1936" sId="3">
    <oc r="D25">
      <v>5</v>
    </oc>
    <nc r="D25"/>
  </rcc>
  <rcc rId="1937" sId="3">
    <oc r="F25" t="inlineStr">
      <is>
        <t>5-201/15 от 30.12.2016</t>
      </is>
    </oc>
    <nc r="F25"/>
  </rcc>
  <rcc rId="1938" sId="3">
    <oc r="G25">
      <f>0.193197*1000</f>
    </oc>
    <nc r="G25"/>
  </rcc>
  <rcc rId="1939" sId="3">
    <oc r="A26">
      <v>20</v>
    </oc>
    <nc r="A26"/>
  </rcc>
  <rcc rId="1940" sId="3">
    <oc r="B26" t="inlineStr">
      <is>
        <t>Капитальный ремонт фасада ТП-49, ул. Энтузиастов, 61-А</t>
      </is>
    </oc>
    <nc r="B26"/>
  </rcc>
  <rcc rId="1941" sId="3">
    <oc r="C26" t="inlineStr">
      <is>
        <t>Счет-фактура №678</t>
      </is>
    </oc>
    <nc r="C26"/>
  </rcc>
  <rcc rId="1942" sId="3">
    <oc r="D26">
      <v>4</v>
    </oc>
    <nc r="D26"/>
  </rcc>
  <rcc rId="1943" sId="3">
    <oc r="F26" t="inlineStr">
      <is>
        <t>5-196/15 от 30.12.2016</t>
      </is>
    </oc>
    <nc r="F26"/>
  </rcc>
  <rcc rId="1944" sId="3">
    <oc r="G26">
      <f>0.045843*1000</f>
    </oc>
    <nc r="G26"/>
  </rcc>
  <rcc rId="1945" sId="3">
    <oc r="A27">
      <v>21</v>
    </oc>
    <nc r="A27"/>
  </rcc>
  <rcc rId="1946" sId="3">
    <oc r="B27" t="inlineStr">
      <is>
        <t>Капитальный ремонт фасада ТП-50, ул. Энтузиастов, 53-А</t>
      </is>
    </oc>
    <nc r="B27"/>
  </rcc>
  <rcc rId="1947" sId="3">
    <oc r="C27" t="inlineStr">
      <is>
        <t>Счет-фактура №679</t>
      </is>
    </oc>
    <nc r="C27"/>
  </rcc>
  <rcc rId="1948" sId="3">
    <oc r="D27">
      <v>4</v>
    </oc>
    <nc r="D27"/>
  </rcc>
  <rcc rId="1949" sId="3">
    <oc r="F27" t="inlineStr">
      <is>
        <t>5-197/15 от 30.12.2016</t>
      </is>
    </oc>
    <nc r="F27"/>
  </rcc>
  <rcc rId="1950" sId="3">
    <oc r="G27">
      <f>0.047105*1000</f>
    </oc>
    <nc r="G27"/>
  </rcc>
  <rcc rId="1951" sId="3">
    <oc r="A28">
      <v>22</v>
    </oc>
    <nc r="A28"/>
  </rcc>
  <rcc rId="1952" sId="3">
    <oc r="B28" t="inlineStr">
      <is>
        <t>Капитальный ремонт фасада ТП-53, ул. Энтузиастов, 31-А</t>
      </is>
    </oc>
    <nc r="B28"/>
  </rcc>
  <rcc rId="1953" sId="3">
    <oc r="C28" t="inlineStr">
      <is>
        <t>Счет-фактура №680</t>
      </is>
    </oc>
    <nc r="C28"/>
  </rcc>
  <rcc rId="1954" sId="3">
    <oc r="D28">
      <v>4</v>
    </oc>
    <nc r="D28"/>
  </rcc>
  <rcc rId="1955" sId="3">
    <oc r="F28" t="inlineStr">
      <is>
        <t>5-251/15 от 30.12.2016</t>
      </is>
    </oc>
    <nc r="F28"/>
  </rcc>
  <rcc rId="1956" sId="3">
    <oc r="G28">
      <f>0.123164*1000</f>
    </oc>
    <nc r="G28"/>
  </rcc>
  <rcc rId="1957" sId="3">
    <oc r="A29">
      <v>23</v>
    </oc>
    <nc r="A29"/>
  </rcc>
  <rcc rId="1958" sId="3">
    <oc r="B29" t="inlineStr">
      <is>
        <t>Капитальный ремонт фасада ТП-55, ул. Энтузиастов, 17-А</t>
      </is>
    </oc>
    <nc r="B29"/>
  </rcc>
  <rcc rId="1959" sId="3">
    <oc r="C29" t="inlineStr">
      <is>
        <t>Счет-фактура №681</t>
      </is>
    </oc>
    <nc r="C29"/>
  </rcc>
  <rcc rId="1960" sId="3">
    <oc r="D29">
      <v>4</v>
    </oc>
    <nc r="D29"/>
  </rcc>
  <rcc rId="1961" sId="3">
    <oc r="F29" t="inlineStr">
      <is>
        <t>5-205/15 от 30.12.2016</t>
      </is>
    </oc>
    <nc r="F29"/>
  </rcc>
  <rcc rId="1962" sId="3">
    <oc r="G29">
      <f>0.127846*1000</f>
    </oc>
    <nc r="G29"/>
  </rcc>
  <rcc rId="1963" sId="3">
    <oc r="A30">
      <v>24</v>
    </oc>
    <nc r="A30"/>
  </rcc>
  <rcc rId="1964" sId="3">
    <oc r="B30" t="inlineStr">
      <is>
        <t>Замена дверей в ТП-63 (ТМ-1, ТМ-2 2,3х2,2-2шт)</t>
      </is>
    </oc>
    <nc r="B30"/>
  </rcc>
  <rcc rId="1965" sId="3">
    <oc r="C30" t="inlineStr">
      <is>
        <t>Счет-фактура №682</t>
      </is>
    </oc>
    <nc r="C30"/>
  </rcc>
  <rcc rId="1966" sId="3">
    <oc r="D30">
      <v>6</v>
    </oc>
    <nc r="D30"/>
  </rcc>
  <rcc rId="1967" sId="3">
    <oc r="F30" t="inlineStr">
      <is>
        <t>5-278/15 от 30.12.2016</t>
      </is>
    </oc>
    <nc r="F30"/>
  </rcc>
  <rcc rId="1968" sId="3">
    <oc r="G30">
      <f>0.126097*1000</f>
    </oc>
    <nc r="G30"/>
  </rcc>
  <rcc rId="1969" sId="3">
    <oc r="A31">
      <v>25</v>
    </oc>
    <nc r="A31"/>
  </rcc>
  <rcc rId="1970" sId="3">
    <oc r="B31" t="inlineStr">
      <is>
        <t xml:space="preserve">Капитальный ремонт фасада ТП-74 ул.Строителей,5 корпус6 </t>
      </is>
    </oc>
    <nc r="B31"/>
  </rcc>
  <rcc rId="1971" sId="3">
    <oc r="C31" t="inlineStr">
      <is>
        <t>Счет-фактура №683</t>
      </is>
    </oc>
    <nc r="C31"/>
  </rcc>
  <rcc rId="1972" sId="3">
    <oc r="D31">
      <v>4</v>
    </oc>
    <nc r="D31"/>
  </rcc>
  <rcc rId="1973" sId="3">
    <oc r="F31" t="inlineStr">
      <is>
        <t>5-217/15 от 30.12.2016</t>
      </is>
    </oc>
    <nc r="F31"/>
  </rcc>
  <rcc rId="1974" sId="3">
    <oc r="G31">
      <f>0.05388*1000</f>
    </oc>
    <nc r="G31"/>
  </rcc>
  <rcc rId="1975" sId="3">
    <oc r="A32">
      <v>26</v>
    </oc>
    <nc r="A32"/>
  </rcc>
  <rcc rId="1976" sId="3">
    <oc r="B32" t="inlineStr">
      <is>
        <t>Капитальный ремонт (замена) кровли ТП-79 ул. Батюшкова, 5 корпус 1</t>
      </is>
    </oc>
    <nc r="B32"/>
  </rcc>
  <rcc rId="1977" sId="3">
    <oc r="C32" t="inlineStr">
      <is>
        <t>Счет-фактура №684</t>
      </is>
    </oc>
    <nc r="C32"/>
  </rcc>
  <rcc rId="1978" sId="3">
    <oc r="D32">
      <v>8</v>
    </oc>
    <nc r="D32"/>
  </rcc>
  <rcc rId="1979" sId="3">
    <oc r="F32" t="inlineStr">
      <is>
        <t>5-55/16 от 30.12.2016</t>
      </is>
    </oc>
    <nc r="F32"/>
  </rcc>
  <rcc rId="1980" sId="3">
    <oc r="G32">
      <f>0.269521*1000</f>
    </oc>
    <nc r="G32"/>
  </rcc>
  <rcc rId="1981" sId="3">
    <oc r="A33">
      <v>27</v>
    </oc>
    <nc r="A33"/>
  </rcc>
  <rcc rId="1982" sId="3">
    <oc r="B33" t="inlineStr">
      <is>
        <t>Капитальный ремонт (замена) кровли ТП-80 ул. Суворова, 6-А</t>
      </is>
    </oc>
    <nc r="B33"/>
  </rcc>
  <rcc rId="1983" sId="3">
    <oc r="C33" t="inlineStr">
      <is>
        <t>Счет-фактура №685</t>
      </is>
    </oc>
    <nc r="C33"/>
  </rcc>
  <rcc rId="1984" sId="3">
    <oc r="D33">
      <v>8</v>
    </oc>
    <nc r="D33"/>
  </rcc>
  <rcc rId="1985" sId="3">
    <oc r="F33" t="inlineStr">
      <is>
        <t>5-56/16 от 30.12.2016</t>
      </is>
    </oc>
    <nc r="F33"/>
  </rcc>
  <rcc rId="1986" sId="3">
    <oc r="G33">
      <f>0.261986*1000</f>
    </oc>
    <nc r="G33"/>
  </rcc>
  <rcc rId="1987" sId="3">
    <oc r="A34">
      <v>28</v>
    </oc>
    <nc r="A34"/>
  </rcc>
  <rcc rId="1988" sId="3">
    <oc r="B34" t="inlineStr">
      <is>
        <t>Капитальный ремонт фасада ТП-80, пр. Суворова, 6_А</t>
      </is>
    </oc>
    <nc r="B34"/>
  </rcc>
  <rcc rId="1989" sId="3">
    <oc r="A35">
      <v>29</v>
    </oc>
    <nc r="A35"/>
  </rcc>
  <rcc rId="1990" sId="3">
    <oc r="B35" t="inlineStr">
      <is>
        <t>Ремонт фасада ТП-86 пр. Строителей, 44-А</t>
      </is>
    </oc>
    <nc r="B35"/>
  </rcc>
  <rcc rId="1991" sId="3">
    <oc r="C35" t="inlineStr">
      <is>
        <t>Счет-фактура №687</t>
      </is>
    </oc>
    <nc r="C35"/>
  </rcc>
  <rcc rId="1992" sId="3">
    <oc r="D35">
      <v>4</v>
    </oc>
    <nc r="D35"/>
  </rcc>
  <rcc rId="1993" sId="3">
    <oc r="F35" t="inlineStr">
      <is>
        <t>5-220/15 от 30.12.2016</t>
      </is>
    </oc>
    <nc r="F35"/>
  </rcc>
  <rcc rId="1994" sId="3">
    <oc r="G35">
      <f>0.068031*1000</f>
    </oc>
    <nc r="G35"/>
  </rcc>
  <rcc rId="1995" sId="3">
    <oc r="A36">
      <v>30</v>
    </oc>
    <nc r="A36"/>
  </rcc>
  <rcc rId="1996" sId="3">
    <oc r="B36" t="inlineStr">
      <is>
        <t>Замена двери в РУ-0,4кВ (1,3х2,5) ТП-98</t>
      </is>
    </oc>
    <nc r="B36"/>
  </rcc>
  <rcc rId="1997" sId="3">
    <oc r="C36" t="inlineStr">
      <is>
        <t>Счет-фактура №688</t>
      </is>
    </oc>
    <nc r="C36"/>
  </rcc>
  <rcc rId="1998" sId="3">
    <oc r="D36">
      <v>6</v>
    </oc>
    <nc r="D36"/>
  </rcc>
  <rcc rId="1999" sId="3">
    <oc r="F36" t="inlineStr">
      <is>
        <t>5-280/15 от 30.12.2016</t>
      </is>
    </oc>
    <nc r="F36"/>
  </rcc>
  <rcc rId="2000" sId="3">
    <oc r="G36">
      <f>0.054138*1000</f>
    </oc>
    <nc r="G36"/>
  </rcc>
  <rcc rId="2001" sId="3">
    <oc r="A37">
      <v>31</v>
    </oc>
    <nc r="A37"/>
  </rcc>
  <rcc rId="2002" sId="3">
    <oc r="B37" t="inlineStr">
      <is>
        <t>Капитальный ремонт фасада ТП-104, пр. Пионерский, 8-А</t>
      </is>
    </oc>
    <nc r="B37"/>
  </rcc>
  <rcc rId="2003" sId="3">
    <oc r="C37" t="inlineStr">
      <is>
        <t>Счет-фактура №689</t>
      </is>
    </oc>
    <nc r="C37"/>
  </rcc>
  <rcc rId="2004" sId="3">
    <oc r="D37">
      <v>5</v>
    </oc>
    <nc r="D37"/>
  </rcc>
  <rcc rId="2005" sId="3">
    <oc r="F37" t="inlineStr">
      <is>
        <t>5-246/15 от 30.12.2016</t>
      </is>
    </oc>
    <nc r="F37"/>
  </rcc>
  <rcc rId="2006" sId="3">
    <oc r="G37">
      <f>0.300487*1000</f>
    </oc>
    <nc r="G37"/>
  </rcc>
  <rcc rId="2007" sId="3">
    <oc r="A38">
      <v>32</v>
    </oc>
    <nc r="A38"/>
  </rcc>
  <rcc rId="2008" sId="3">
    <oc r="B38" t="inlineStr">
      <is>
        <t>Ремонт фасада ТП-109 пр. Строителей, 75-А</t>
      </is>
    </oc>
    <nc r="B38"/>
  </rcc>
  <rcc rId="2009" sId="3">
    <oc r="C38" t="inlineStr">
      <is>
        <t>Счет-фактура №690</t>
      </is>
    </oc>
    <nc r="C38"/>
  </rcc>
  <rcc rId="2010" sId="3">
    <oc r="D38">
      <v>4</v>
    </oc>
    <nc r="D38"/>
  </rcc>
  <rcc rId="2011" sId="3">
    <oc r="F38" t="inlineStr">
      <is>
        <t>5-219/15 от 30.12.2016</t>
      </is>
    </oc>
    <nc r="F38"/>
  </rcc>
  <rcc rId="2012" sId="3">
    <oc r="G38">
      <f>0.050986*1000</f>
    </oc>
    <nc r="G38"/>
  </rcc>
  <rcc rId="2013" sId="3">
    <oc r="A39">
      <v>33</v>
    </oc>
    <nc r="A39"/>
  </rcc>
  <rcc rId="2014" sId="3">
    <oc r="B39" t="inlineStr">
      <is>
        <t>Капитальный ремонт фасада ТП-130, пр-д Казарновского, 4-А</t>
      </is>
    </oc>
    <nc r="B39"/>
  </rcc>
  <rcc rId="2015" sId="3">
    <oc r="C39" t="inlineStr">
      <is>
        <t>Счет-фактура №691</t>
      </is>
    </oc>
    <nc r="C39"/>
  </rcc>
  <rcc rId="2016" sId="3">
    <oc r="D39">
      <v>4</v>
    </oc>
    <nc r="D39"/>
  </rcc>
  <rcc rId="2017" sId="3">
    <oc r="F39" t="inlineStr">
      <is>
        <t>5-245/15 от 30.12.2016</t>
      </is>
    </oc>
    <nc r="F39"/>
  </rcc>
  <rcc rId="2018" sId="3">
    <oc r="G39">
      <f>0.076861*1000</f>
    </oc>
    <nc r="G39"/>
  </rcc>
  <rcc rId="2019" sId="3">
    <oc r="A40">
      <v>34</v>
    </oc>
    <nc r="A40"/>
  </rcc>
  <rcc rId="2020" sId="3">
    <oc r="B40" t="inlineStr">
      <is>
        <t>Капитальный ремонт фасада ТП-133, пр. Бардина, 3-А</t>
      </is>
    </oc>
    <nc r="B40"/>
  </rcc>
  <rcc rId="2021" sId="3">
    <oc r="C40" t="inlineStr">
      <is>
        <t>Счет-фактура №692</t>
      </is>
    </oc>
    <nc r="C40"/>
  </rcc>
  <rcc rId="2022" sId="3">
    <oc r="D40">
      <v>4</v>
    </oc>
    <nc r="D40"/>
  </rcc>
  <rcc rId="2023" sId="3">
    <oc r="F40" t="inlineStr">
      <is>
        <t>5-254/15 от 30.12.2016</t>
      </is>
    </oc>
    <nc r="F40"/>
  </rcc>
  <rcc rId="2024" sId="3">
    <oc r="G40">
      <f>0.088853*1000</f>
    </oc>
    <nc r="G40"/>
  </rcc>
  <rcc rId="2025" sId="3">
    <oc r="A41">
      <v>35</v>
    </oc>
    <nc r="A41"/>
  </rcc>
  <rcc rId="2026" sId="3">
    <oc r="B41" t="inlineStr">
      <is>
        <t>Капитальный ремонт фасада ТП-134, пр. Бардина, 13-А</t>
      </is>
    </oc>
    <nc r="B41"/>
  </rcc>
  <rcc rId="2027" sId="3">
    <oc r="C41" t="inlineStr">
      <is>
        <t>Счет-фактура №693</t>
      </is>
    </oc>
    <nc r="C41"/>
  </rcc>
  <rcc rId="2028" sId="3">
    <oc r="D41">
      <v>4</v>
    </oc>
    <nc r="D41"/>
  </rcc>
  <rcc rId="2029" sId="3">
    <oc r="F41" t="inlineStr">
      <is>
        <t>5-255/15 от 30.12.2016</t>
      </is>
    </oc>
    <nc r="F41"/>
  </rcc>
  <rcc rId="2030" sId="3">
    <oc r="G41">
      <f>0.05857*1000</f>
    </oc>
    <nc r="G41"/>
  </rcc>
  <rcc rId="2031" sId="3">
    <oc r="A42">
      <v>36</v>
    </oc>
    <nc r="A42"/>
  </rcc>
  <rcc rId="2032" sId="3">
    <oc r="B42" t="inlineStr">
      <is>
        <t>Капитальный ремонт (замена) дверей в РУ-6 кВ (1,5х2,4) ТП-138</t>
      </is>
    </oc>
    <nc r="B42"/>
  </rcc>
  <rcc rId="2033" sId="3">
    <oc r="C42" t="inlineStr">
      <is>
        <t>Счет-фактура №694</t>
      </is>
    </oc>
    <nc r="C42"/>
  </rcc>
  <rcc rId="2034" sId="3">
    <oc r="D42">
      <v>6</v>
    </oc>
    <nc r="D42"/>
  </rcc>
  <rcc rId="2035" sId="3">
    <oc r="F42" t="inlineStr">
      <is>
        <t>5-268/15 от 30.12.2016</t>
      </is>
    </oc>
    <nc r="F42"/>
  </rcc>
  <rcc rId="2036" sId="3">
    <oc r="G42">
      <f>0.052637*1000</f>
    </oc>
    <nc r="G42"/>
  </rcc>
  <rcc rId="2037" sId="3">
    <oc r="A43">
      <v>37</v>
    </oc>
    <nc r="A43"/>
  </rcc>
  <rcc rId="2038" sId="3">
    <oc r="B43" t="inlineStr">
      <is>
        <t>Капитальный ремонт фасада ТП-140, пр. Бардина, 34-А</t>
      </is>
    </oc>
    <nc r="B43"/>
  </rcc>
  <rcc rId="2039" sId="3">
    <oc r="C43" t="inlineStr">
      <is>
        <t>Счет-фактура №695</t>
      </is>
    </oc>
    <nc r="C43"/>
  </rcc>
  <rcc rId="2040" sId="3">
    <oc r="D43">
      <v>5</v>
    </oc>
    <nc r="D43"/>
  </rcc>
  <rcc rId="2041" sId="3">
    <oc r="F43" t="inlineStr">
      <is>
        <t>5-249/15 от 30.12.2016</t>
      </is>
    </oc>
    <nc r="F43"/>
  </rcc>
  <rcc rId="2042" sId="3">
    <oc r="G43">
      <f>0.183235*1000</f>
    </oc>
    <nc r="G43"/>
  </rcc>
  <rcc rId="2043" sId="3">
    <oc r="A44">
      <v>38</v>
    </oc>
    <nc r="A44"/>
  </rcc>
  <rcc rId="2044" sId="3">
    <oc r="B44" t="inlineStr">
      <is>
        <t>Капитальный ремонт фасада ТП-149, пр-т Бардина, 16-Б</t>
      </is>
    </oc>
    <nc r="B44"/>
  </rcc>
  <rcc rId="2045" sId="3">
    <oc r="C44" t="inlineStr">
      <is>
        <t>Счет-фактура №696</t>
      </is>
    </oc>
    <nc r="C44"/>
  </rcc>
  <rcc rId="2046" sId="3">
    <oc r="D44">
      <v>4</v>
    </oc>
    <nc r="D44"/>
  </rcc>
  <rcc rId="2047" sId="3">
    <oc r="F44" t="inlineStr">
      <is>
        <t>5-243/15 от 30.12.2016</t>
      </is>
    </oc>
    <nc r="F44"/>
  </rcc>
  <rcc rId="2048" sId="3">
    <oc r="G44">
      <f>0.044413*1000</f>
    </oc>
    <nc r="G44"/>
  </rcc>
  <rcc rId="2049" sId="3">
    <oc r="A45">
      <v>39</v>
    </oc>
    <nc r="A45"/>
  </rcc>
  <rcc rId="2050" sId="3">
    <oc r="B45" t="inlineStr">
      <is>
        <t>Замена дверей в ТП-153 (ТМ-1). Ремонт кирпичной кладки</t>
      </is>
    </oc>
    <nc r="B45"/>
  </rcc>
  <rcc rId="2051" sId="3">
    <oc r="C45" t="inlineStr">
      <is>
        <t>Счет-фактура №697</t>
      </is>
    </oc>
    <nc r="C45"/>
  </rcc>
  <rcc rId="2052" sId="3">
    <oc r="D45">
      <v>7</v>
    </oc>
    <nc r="D45"/>
  </rcc>
  <rcc rId="2053" sId="3">
    <oc r="F45" t="inlineStr">
      <is>
        <t>5-291/15 от 30.12.2016</t>
      </is>
    </oc>
    <nc r="F45"/>
  </rcc>
  <rcc rId="2054" sId="3">
    <oc r="G45">
      <f>0.062681*1000</f>
    </oc>
    <nc r="G45"/>
  </rcc>
  <rcc rId="2055" sId="3">
    <oc r="A46">
      <v>40</v>
    </oc>
    <nc r="A46"/>
  </rcc>
  <rcc rId="2056" sId="3">
    <oc r="B46" t="inlineStr">
      <is>
        <t>Капитальный ремонт ТП-153 устройство бетонных полов</t>
      </is>
    </oc>
    <nc r="B46"/>
  </rcc>
  <rcc rId="2057" sId="3">
    <oc r="C46" t="inlineStr">
      <is>
        <t xml:space="preserve">Счет-фактура №490 </t>
      </is>
    </oc>
    <nc r="C46"/>
  </rcc>
  <rcc rId="2058" sId="3">
    <oc r="D46">
      <v>5</v>
    </oc>
    <nc r="D46"/>
  </rcc>
  <rcc rId="2059" sId="3">
    <oc r="F46" t="inlineStr">
      <is>
        <t>5-191/16 от 31.12.2016</t>
      </is>
    </oc>
    <nc r="F46"/>
  </rcc>
  <rcc rId="2060" sId="3">
    <oc r="G46">
      <f>0.060536*1000</f>
    </oc>
    <nc r="G46"/>
  </rcc>
  <rcc rId="2061" sId="3">
    <oc r="A47">
      <v>41</v>
    </oc>
    <nc r="A47"/>
  </rcc>
  <rcc rId="2062" sId="3">
    <oc r="B47" t="inlineStr">
      <is>
        <t>Капитальный ремонт (замена) дверей РУ-6 кВ (1,5х2,4), ТМ-1,2 (2,3х2,3-2шт) ТП-160</t>
      </is>
    </oc>
    <nc r="B47"/>
  </rcc>
  <rcc rId="2063" sId="3">
    <oc r="C47" t="inlineStr">
      <is>
        <t>Счет-фактура №698</t>
      </is>
    </oc>
    <nc r="C47"/>
  </rcc>
  <rcc rId="2064" sId="3">
    <oc r="D47">
      <v>6</v>
    </oc>
    <nc r="D47"/>
  </rcc>
  <rcc rId="2065" sId="3">
    <oc r="F47" t="inlineStr">
      <is>
        <t>5-260/15 от 30.12.2016</t>
      </is>
    </oc>
    <nc r="F47"/>
  </rcc>
  <rcc rId="2066" sId="3">
    <oc r="G47">
      <f>0.187471*1000</f>
    </oc>
    <nc r="G47"/>
  </rcc>
  <rcc rId="2067" sId="3">
    <oc r="A48">
      <v>42</v>
    </oc>
    <nc r="A48"/>
  </rcc>
  <rcc rId="2068" sId="3">
    <oc r="B48" t="inlineStr">
      <is>
        <t>Восстановление пола и восстановление отмостки в ТП-182</t>
      </is>
    </oc>
    <nc r="B48"/>
  </rcc>
  <rcc rId="2069" sId="3">
    <oc r="C48" t="inlineStr">
      <is>
        <t>Счет-фактура №699</t>
      </is>
    </oc>
    <nc r="C48"/>
  </rcc>
  <rcc rId="2070" sId="3">
    <oc r="D48">
      <v>6</v>
    </oc>
    <nc r="D48"/>
  </rcc>
  <rcc rId="2071" sId="3">
    <oc r="F48" t="inlineStr">
      <is>
        <t>5-223/15 от 30.12.2016</t>
      </is>
    </oc>
    <nc r="F48"/>
  </rcc>
  <rcc rId="2072" sId="3">
    <oc r="G48">
      <f>0.096729*1000</f>
    </oc>
    <nc r="G48"/>
  </rcc>
  <rcc rId="2073" sId="3">
    <oc r="A49">
      <v>43</v>
    </oc>
    <nc r="A49"/>
  </rcc>
  <rcc rId="2074" sId="3">
    <oc r="B49" t="inlineStr">
      <is>
        <t>Капитальный ремонт дверей в ТП-182</t>
      </is>
    </oc>
    <nc r="B49"/>
  </rcc>
  <rcc rId="2075" sId="3">
    <oc r="C49" t="inlineStr">
      <is>
        <t xml:space="preserve">Счет-фактура №700 </t>
      </is>
    </oc>
    <nc r="C49"/>
  </rcc>
  <rcc rId="2076" sId="3">
    <oc r="D49">
      <v>6</v>
    </oc>
    <nc r="D49"/>
  </rcc>
  <rcc rId="2077" sId="3">
    <oc r="F49" t="inlineStr">
      <is>
        <t>5-284/15 от 30.12.2016</t>
      </is>
    </oc>
    <nc r="F49"/>
  </rcc>
  <rcc rId="2078" sId="3">
    <oc r="G49">
      <f>0.074605*1000</f>
    </oc>
    <nc r="G49"/>
  </rcc>
  <rcc rId="2079" sId="3">
    <oc r="A50">
      <v>44</v>
    </oc>
    <nc r="A50"/>
  </rcc>
  <rcc rId="2080" sId="3">
    <oc r="B50" t="inlineStr">
      <is>
        <t>Капитальный ремонт ТП-187 устройство бетонных полов</t>
      </is>
    </oc>
    <nc r="B50"/>
  </rcc>
  <rcc rId="2081" sId="3">
    <oc r="C50" t="inlineStr">
      <is>
        <t>Счет-фактура №701</t>
      </is>
    </oc>
    <nc r="C50"/>
  </rcc>
  <rcc rId="2082" sId="3">
    <oc r="D50">
      <v>5</v>
    </oc>
    <nc r="D50"/>
  </rcc>
  <rcc rId="2083" sId="3">
    <oc r="F50" t="inlineStr">
      <is>
        <t>5-222/16 от 30.12.2016</t>
      </is>
    </oc>
    <nc r="F50"/>
  </rcc>
  <rcc rId="2084" sId="3">
    <oc r="G50">
      <f>0.030754*1000</f>
    </oc>
    <nc r="G50"/>
  </rcc>
  <rcc rId="2085" sId="3">
    <oc r="A51">
      <v>45</v>
    </oc>
    <nc r="A51"/>
  </rcc>
  <rcc rId="2086" sId="3">
    <oc r="B51" t="inlineStr">
      <is>
        <t>Замена дверей в ТП-194 РУ-6кВ, РУ-0,4кВ (1,5х2,5-2шт) ТМ1,2</t>
      </is>
    </oc>
    <nc r="B51"/>
  </rcc>
  <rcc rId="2087" sId="3">
    <oc r="C51" t="inlineStr">
      <is>
        <t>Счет-фактура №702</t>
      </is>
    </oc>
    <nc r="C51"/>
  </rcc>
  <rcc rId="2088" sId="3">
    <oc r="D51">
      <v>6</v>
    </oc>
    <nc r="D51"/>
  </rcc>
  <rcc rId="2089" sId="3">
    <oc r="F51" t="inlineStr">
      <is>
        <t>5-279/15 от 30.12.2016</t>
      </is>
    </oc>
    <nc r="F51"/>
  </rcc>
  <rcc rId="2090" sId="3">
    <oc r="G51">
      <f>0.303937*1000</f>
    </oc>
    <nc r="G51"/>
  </rcc>
  <rcc rId="2091" sId="3">
    <oc r="A52">
      <v>46</v>
    </oc>
    <nc r="A52"/>
  </rcc>
  <rcc rId="2092" sId="3">
    <oc r="B52" t="inlineStr">
      <is>
        <t>Замена дверей в РУ-6кВ (1,5х2,4) ТП-195</t>
      </is>
    </oc>
    <nc r="B52"/>
  </rcc>
  <rcc rId="2093" sId="3">
    <oc r="C52" t="inlineStr">
      <is>
        <t>Счет-фактура №703</t>
      </is>
    </oc>
    <nc r="C52"/>
  </rcc>
  <rcc rId="2094" sId="3">
    <oc r="D52">
      <v>6</v>
    </oc>
    <nc r="D52"/>
  </rcc>
  <rcc rId="2095" sId="3">
    <oc r="F52" t="inlineStr">
      <is>
        <t>5-277/15 от 30.12.2016</t>
      </is>
    </oc>
    <nc r="F52"/>
  </rcc>
  <rcc rId="2096" sId="3">
    <oc r="G52">
      <f>0.05751*1000</f>
    </oc>
    <nc r="G52"/>
  </rcc>
  <rcc rId="2097" sId="3">
    <oc r="A53">
      <v>47</v>
    </oc>
    <nc r="A53"/>
  </rcc>
  <rcc rId="2098" sId="3">
    <oc r="B53" t="inlineStr">
      <is>
        <t>Ремонт фасада ТП-211, пр. Октябрьский, 31-А</t>
      </is>
    </oc>
    <nc r="B53"/>
  </rcc>
  <rcc rId="2099" sId="3">
    <oc r="C53" t="inlineStr">
      <is>
        <t>Счет-фактура №704</t>
      </is>
    </oc>
    <nc r="C53"/>
  </rcc>
  <rcc rId="2100" sId="3">
    <oc r="D53">
      <v>4</v>
    </oc>
    <nc r="D53"/>
  </rcc>
  <rcc rId="2101" sId="3">
    <oc r="F53" t="inlineStr">
      <is>
        <t>5-234/15 от 30.12.2016</t>
      </is>
    </oc>
    <nc r="F53"/>
  </rcc>
  <rcc rId="2102" sId="3">
    <oc r="G53">
      <f>0.041266*1000</f>
    </oc>
    <nc r="G53"/>
  </rcc>
  <rcc rId="2103" sId="3">
    <oc r="A54">
      <v>48</v>
    </oc>
    <nc r="A54"/>
  </rcc>
  <rcc rId="2104" sId="3">
    <oc r="B54" t="inlineStr">
      <is>
        <t>Капитальный ремонт (замена) кровли ТП-211 пр. Октябрьский, 31-А</t>
      </is>
    </oc>
    <nc r="B54"/>
  </rcc>
  <rcc rId="2105" sId="3">
    <oc r="C54" t="inlineStr">
      <is>
        <t>Счет-фактура №705</t>
      </is>
    </oc>
    <nc r="C54"/>
  </rcc>
  <rcc rId="2106" sId="3">
    <oc r="D54">
      <v>8</v>
    </oc>
    <nc r="D54"/>
  </rcc>
  <rcc rId="2107" sId="3">
    <oc r="F54" t="inlineStr">
      <is>
        <t>5-48/16 от 30.12.2016</t>
      </is>
    </oc>
    <nc r="F54"/>
  </rcc>
  <rcc rId="2108" sId="3">
    <oc r="G54">
      <f>0.173159*1000</f>
    </oc>
    <nc r="G54"/>
  </rcc>
  <rcc rId="2109" sId="3">
    <oc r="A55">
      <v>49</v>
    </oc>
    <nc r="A55"/>
  </rcc>
  <rcc rId="2110" sId="3">
    <oc r="B55" t="inlineStr">
      <is>
        <t>Капитальный ремонт (замена) кровли ТП-213 ул. Циолковского, 68-А</t>
      </is>
    </oc>
    <nc r="B55"/>
  </rcc>
  <rcc rId="2111" sId="3">
    <oc r="C55" t="inlineStr">
      <is>
        <t>Счет-фактура №538</t>
      </is>
    </oc>
    <nc r="C55"/>
  </rcc>
  <rcc rId="2112" sId="3">
    <oc r="D55">
      <v>8</v>
    </oc>
    <nc r="D55"/>
  </rcc>
  <rcc rId="2113" sId="3">
    <oc r="F55" t="inlineStr">
      <is>
        <t>5-49/16 от 30.12.2016</t>
      </is>
    </oc>
    <nc r="F55"/>
  </rcc>
  <rcc rId="2114" sId="3">
    <oc r="G55">
      <f>0.250251*1000</f>
    </oc>
    <nc r="G55"/>
  </rcc>
  <rcc rId="2115" sId="3">
    <oc r="A56">
      <v>50</v>
    </oc>
    <nc r="A56"/>
  </rcc>
  <rcc rId="2116" sId="3">
    <oc r="B56" t="inlineStr">
      <is>
        <t>Замена дверей в ТП-216 (РУ-0,4кВ, ТМ-1, ТМ-2)</t>
      </is>
    </oc>
    <nc r="B56"/>
  </rcc>
  <rcc rId="2117" sId="3">
    <oc r="C56" t="inlineStr">
      <is>
        <t>Счет-фактура №706</t>
      </is>
    </oc>
    <nc r="C56"/>
  </rcc>
  <rcc rId="2118" sId="3">
    <oc r="D56">
      <v>7</v>
    </oc>
    <nc r="D56"/>
  </rcc>
  <rcc rId="2119" sId="3">
    <oc r="F56" t="inlineStr">
      <is>
        <t>5-281/15 от 30.12.2016</t>
      </is>
    </oc>
    <nc r="F56"/>
  </rcc>
  <rcc rId="2120" sId="3">
    <oc r="G56">
      <f>0.247429*1000</f>
    </oc>
    <nc r="G56"/>
  </rcc>
  <rcc rId="2121" sId="3">
    <oc r="A57">
      <v>51</v>
    </oc>
    <nc r="A57"/>
  </rcc>
  <rcc rId="2122" sId="3">
    <oc r="B57" t="inlineStr">
      <is>
        <t>Капитальный ремонт дверей в ТП-221</t>
      </is>
    </oc>
    <nc r="B57"/>
  </rcc>
  <rcc rId="2123" sId="3">
    <oc r="C57" t="inlineStr">
      <is>
        <t xml:space="preserve">Счет-фактура №707 </t>
      </is>
    </oc>
    <nc r="C57"/>
  </rcc>
  <rcc rId="2124" sId="3">
    <oc r="D57">
      <v>6</v>
    </oc>
    <nc r="D57"/>
  </rcc>
  <rcc rId="2125" sId="3">
    <oc r="F57" t="inlineStr">
      <is>
        <t>5-282/15 от 30.12.2016</t>
      </is>
    </oc>
    <nc r="F57"/>
  </rcc>
  <rcc rId="2126" sId="3">
    <oc r="G57">
      <f>0.08309*1000</f>
    </oc>
    <nc r="G57"/>
  </rcc>
  <rcc rId="2127" sId="3">
    <oc r="A58">
      <v>52</v>
    </oc>
    <nc r="A58"/>
  </rcc>
  <rcc rId="2128" sId="3">
    <oc r="B58" t="inlineStr">
      <is>
        <t>Замена дверей в ТП-230 РУ-6кВ, (1,5х2,5), РУ-0,4 кВ (1,0х2,6)</t>
      </is>
    </oc>
    <nc r="B58"/>
  </rcc>
  <rcc rId="2129" sId="3">
    <oc r="C58" t="inlineStr">
      <is>
        <t>Счет-фактура №708</t>
      </is>
    </oc>
    <nc r="C58"/>
  </rcc>
  <rcc rId="2130" sId="3">
    <oc r="D58">
      <v>7</v>
    </oc>
    <nc r="D58"/>
  </rcc>
  <rcc rId="2131" sId="3">
    <oc r="F58" t="inlineStr">
      <is>
        <t>5-359/15 от 30.12.2016</t>
      </is>
    </oc>
    <nc r="F58"/>
  </rcc>
  <rcc rId="2132" sId="3">
    <oc r="G58">
      <f>0.112468*1000</f>
    </oc>
    <nc r="G58"/>
  </rcc>
  <rcc rId="2133" sId="3">
    <oc r="A59">
      <v>53</v>
    </oc>
    <nc r="A59"/>
  </rcc>
  <rcc rId="2134" sId="3">
    <oc r="B59" t="inlineStr">
      <is>
        <t>Замена дверей в ТП-231 в РУ-0,4кв, РУ-6кВ</t>
      </is>
    </oc>
    <nc r="B59"/>
  </rcc>
  <rcc rId="2135" sId="3">
    <oc r="C59" t="inlineStr">
      <is>
        <t>Счет-фактура №709</t>
      </is>
    </oc>
    <nc r="C59"/>
  </rcc>
  <rcc rId="2136" sId="3">
    <oc r="D59">
      <v>6</v>
    </oc>
    <nc r="D59"/>
  </rcc>
  <rcc rId="2137" sId="3">
    <oc r="F59" t="inlineStr">
      <is>
        <t>5-291-А/15 от 30.12.2016</t>
      </is>
    </oc>
    <nc r="F59"/>
  </rcc>
  <rcc rId="2138" sId="3">
    <oc r="G59">
      <f>0.196016*1000</f>
    </oc>
    <nc r="G59"/>
  </rcc>
  <rcc rId="2139" sId="3">
    <oc r="A60">
      <v>54</v>
    </oc>
    <nc r="A60"/>
  </rcc>
  <rcc rId="2140" sId="3">
    <oc r="B60" t="inlineStr">
      <is>
        <t>Капитальный ремонт (замена) кровли ТП-234 пр. Октябрьский, 21 корпус 1</t>
      </is>
    </oc>
    <nc r="B60"/>
  </rcc>
  <rcc rId="2141" sId="3">
    <oc r="C60" t="inlineStr">
      <is>
        <t>Счет-фактура №527</t>
      </is>
    </oc>
    <nc r="C60"/>
  </rcc>
  <rcc rId="2142" sId="3">
    <oc r="D60">
      <v>8</v>
    </oc>
    <nc r="D60"/>
  </rcc>
  <rcc rId="2143" sId="3">
    <oc r="F60" t="inlineStr">
      <is>
        <t>5-47/16 от 30.11.2016</t>
      </is>
    </oc>
    <nc r="F60"/>
  </rcc>
  <rcc rId="2144" sId="3">
    <oc r="G60">
      <f>0.163398*1000</f>
    </oc>
    <nc r="G60"/>
  </rcc>
  <rcc rId="2145" sId="3">
    <oc r="A61">
      <v>55</v>
    </oc>
    <nc r="A61"/>
  </rcc>
  <rcc rId="2146" sId="3">
    <oc r="B61" t="inlineStr">
      <is>
        <t>Замена дверей в ТП-235 (ТМ-2,3х2,3), РУ-0,4кВ (1,0х2,5), РУ-6кВ (1,6х2,3)</t>
      </is>
    </oc>
    <nc r="B61"/>
  </rcc>
  <rcc rId="2147" sId="3">
    <oc r="C61" t="inlineStr">
      <is>
        <t>Счет-фактура №710</t>
      </is>
    </oc>
    <nc r="C61"/>
  </rcc>
  <rcc rId="2148" sId="3">
    <oc r="D61">
      <v>6</v>
    </oc>
    <nc r="D61"/>
  </rcc>
  <rcc rId="2149" sId="3">
    <oc r="F61" t="inlineStr">
      <is>
        <t>5-348/15 от 31.12.2016</t>
      </is>
    </oc>
    <nc r="F61"/>
  </rcc>
  <rcc rId="2150" sId="3">
    <oc r="G61">
      <f>0.196692*1000</f>
    </oc>
    <nc r="G61"/>
  </rcc>
  <rcc rId="2151" sId="3">
    <oc r="A62">
      <v>56</v>
    </oc>
    <nc r="A62"/>
  </rcc>
  <rcc rId="2152" sId="3">
    <oc r="B62" t="inlineStr">
      <is>
        <t>Капитальный ремонт (замена) кровли ТП-243, пр. Дружбы, 2 корпус 1</t>
      </is>
    </oc>
    <nc r="B62"/>
  </rcc>
  <rcc rId="2153" sId="3">
    <oc r="C62" t="inlineStr">
      <is>
        <t>Счет-фактура №711</t>
      </is>
    </oc>
    <nc r="C62"/>
  </rcc>
  <rcc rId="2154" sId="3">
    <oc r="D62">
      <v>8</v>
    </oc>
    <nc r="D62"/>
  </rcc>
  <rcc rId="2155" sId="3">
    <oc r="F62" t="inlineStr">
      <is>
        <t>5-41/16 от 30.12.2016</t>
      </is>
    </oc>
    <nc r="F62"/>
  </rcc>
  <rcc rId="2156" sId="3">
    <oc r="G62">
      <f>0.176375*1000</f>
    </oc>
    <nc r="G62"/>
  </rcc>
  <rcc rId="2157" sId="3">
    <oc r="A63">
      <v>57</v>
    </oc>
    <nc r="A63"/>
  </rcc>
  <rcc rId="2158" sId="3">
    <oc r="B63" t="inlineStr">
      <is>
        <t>Капитальный ремонт (замена) дверей в РУ-6кВ (1,5х2,5), ТМ-1,2 (1,8х2,3-2шт) ТП-248</t>
      </is>
    </oc>
    <nc r="B63"/>
  </rcc>
  <rcc rId="2159" sId="3">
    <oc r="C63" t="inlineStr">
      <is>
        <t>Счет-фактура №712</t>
      </is>
    </oc>
    <nc r="C63"/>
  </rcc>
  <rcc rId="2160" sId="3">
    <oc r="D63">
      <v>6</v>
    </oc>
    <nc r="D63"/>
  </rcc>
  <rcc rId="2161" sId="3">
    <oc r="F63" t="inlineStr">
      <is>
        <t>5-275/15 от 30.12.2016</t>
      </is>
    </oc>
    <nc r="F63"/>
  </rcc>
  <rcc rId="2162" sId="3">
    <oc r="G63">
      <f>0.213404*1000</f>
    </oc>
    <nc r="G63"/>
  </rcc>
  <rcc rId="2163" sId="3">
    <oc r="A64">
      <v>58</v>
    </oc>
    <nc r="A64"/>
  </rcc>
  <rcc rId="2164" sId="3">
    <oc r="B64" t="inlineStr">
      <is>
        <t>Капитальный ремонт (замена) дверей в ТП-249 РУ-6кВ (1,5х2,4)</t>
      </is>
    </oc>
    <nc r="B64"/>
  </rcc>
  <rcc rId="2165" sId="3">
    <oc r="C64" t="inlineStr">
      <is>
        <t>Счет-фактура №713</t>
      </is>
    </oc>
    <nc r="C64"/>
  </rcc>
  <rcc rId="2166" sId="3">
    <oc r="D64">
      <v>6</v>
    </oc>
    <nc r="D64"/>
  </rcc>
  <rcc rId="2167" sId="3">
    <oc r="F64" t="inlineStr">
      <is>
        <t>5-274/15 от 30.12.2016</t>
      </is>
    </oc>
    <nc r="F64"/>
  </rcc>
  <rcc rId="2168" sId="3">
    <oc r="G64">
      <f>0.058071*1000</f>
    </oc>
    <nc r="G64"/>
  </rcc>
  <rcc rId="2169" sId="3">
    <oc r="A65">
      <v>59</v>
    </oc>
    <nc r="A65"/>
  </rcc>
  <rcc rId="2170" sId="3">
    <oc r="B65" t="inlineStr">
      <is>
        <t>Капитальный ремонт ТП-255 устройство бетонных полов</t>
      </is>
    </oc>
    <nc r="B65"/>
  </rcc>
  <rcc rId="2171" sId="3">
    <oc r="C65" t="inlineStr">
      <is>
        <t>Счет-фактура №492</t>
      </is>
    </oc>
    <nc r="C65"/>
  </rcc>
  <rcc rId="2172" sId="3">
    <oc r="D65">
      <v>5</v>
    </oc>
    <nc r="D65"/>
  </rcc>
  <rcc rId="2173" sId="3">
    <oc r="F65" t="inlineStr">
      <is>
        <t>5-192/16 от 31.10.2016</t>
      </is>
    </oc>
    <nc r="F65"/>
  </rcc>
  <rcc rId="2174" sId="3">
    <oc r="G65">
      <f>0.061465*1000</f>
    </oc>
    <nc r="G65"/>
  </rcc>
  <rcc rId="2175" sId="3">
    <oc r="A66">
      <v>60</v>
    </oc>
    <nc r="A66"/>
  </rcc>
  <rcc rId="2176" sId="3">
    <oc r="B66" t="inlineStr">
      <is>
        <t>Капитальный ремонт (замена) дверей в РУ-6кВ, РУ-0,4кВ, ТМ-1,2 ТП-259</t>
      </is>
    </oc>
    <nc r="B66"/>
  </rcc>
  <rcc rId="2177" sId="3">
    <oc r="C66" t="inlineStr">
      <is>
        <t>Счет-фактура №714</t>
      </is>
    </oc>
    <nc r="C66"/>
  </rcc>
  <rcc rId="2178" sId="3">
    <oc r="D66">
      <v>7</v>
    </oc>
    <nc r="D66"/>
  </rcc>
  <rcc rId="2179" sId="3">
    <oc r="F66" t="inlineStr">
      <is>
        <t>5-273/15 от 30.12.2016</t>
      </is>
    </oc>
    <nc r="F66"/>
  </rcc>
  <rcc rId="2180" sId="3">
    <oc r="G66">
      <f>0.274383*1000</f>
    </oc>
    <nc r="G66"/>
  </rcc>
  <rcc rId="2181" sId="3">
    <oc r="A67">
      <v>61</v>
    </oc>
    <nc r="A67"/>
  </rcc>
  <rcc rId="2182" sId="3">
    <oc r="B67" t="inlineStr">
      <is>
        <t>Капитальный ремонт ТП-259 устройство бетонных полов</t>
      </is>
    </oc>
    <nc r="B67"/>
  </rcc>
  <rcc rId="2183" sId="3">
    <oc r="C67" t="inlineStr">
      <is>
        <t>Счет-фактура №494</t>
      </is>
    </oc>
    <nc r="C67"/>
  </rcc>
  <rcc rId="2184" sId="3">
    <oc r="D67">
      <v>5</v>
    </oc>
    <nc r="D67"/>
  </rcc>
  <rcc rId="2185" sId="3">
    <oc r="F67" t="inlineStr">
      <is>
        <t>5-194/16 от 31.10.2016</t>
      </is>
    </oc>
    <nc r="F67"/>
  </rcc>
  <rcc rId="2186" sId="3">
    <oc r="G67">
      <f>0.066023*1000</f>
    </oc>
    <nc r="G67"/>
  </rcc>
  <rcc rId="2187" sId="3">
    <oc r="A68">
      <v>62</v>
    </oc>
    <nc r="A68"/>
  </rcc>
  <rcc rId="2188" sId="3">
    <oc r="B68" t="inlineStr">
      <is>
        <t>Капитальный ремонт дверей в ТП-261</t>
      </is>
    </oc>
    <nc r="B68"/>
  </rcc>
  <rcc rId="2189" sId="3">
    <oc r="C68" t="inlineStr">
      <is>
        <t>Счет-фактура №715</t>
      </is>
    </oc>
    <nc r="C68"/>
  </rcc>
  <rcc rId="2190" sId="3">
    <oc r="D68">
      <v>6</v>
    </oc>
    <nc r="D68"/>
  </rcc>
  <rcc rId="2191" sId="3">
    <oc r="F68" t="inlineStr">
      <is>
        <t>5-285/15 от 30.12.2016</t>
      </is>
    </oc>
    <nc r="F68"/>
  </rcc>
  <rcc rId="2192" sId="3">
    <oc r="G68">
      <f>0.065337*1000</f>
    </oc>
    <nc r="G68"/>
  </rcc>
  <rcc rId="2193" sId="3">
    <oc r="A69">
      <v>63</v>
    </oc>
    <nc r="A69"/>
  </rcc>
  <rcc rId="2194" sId="3">
    <oc r="B69" t="inlineStr">
      <is>
        <t>Ремонт фасада ТП-262, ул. Грдины, 19-А</t>
      </is>
    </oc>
    <nc r="B69"/>
  </rcc>
  <rcc rId="2195" sId="3">
    <oc r="C69" t="inlineStr">
      <is>
        <t>Счет-фактура №716</t>
      </is>
    </oc>
    <nc r="C69"/>
  </rcc>
  <rcc rId="2196" sId="3">
    <oc r="D69">
      <v>4</v>
    </oc>
    <nc r="D69"/>
  </rcc>
  <rcc rId="2197" sId="3">
    <oc r="F69" t="inlineStr">
      <is>
        <t>5-208/15 от 30.12.2016</t>
      </is>
    </oc>
    <nc r="F69"/>
  </rcc>
  <rcc rId="2198" sId="3">
    <oc r="G69">
      <f>0.051222*1000</f>
    </oc>
    <nc r="G69"/>
  </rcc>
  <rcc rId="2199" sId="3">
    <oc r="A70">
      <v>64</v>
    </oc>
    <nc r="A70"/>
  </rcc>
  <rcc rId="2200" sId="3">
    <oc r="B70" t="inlineStr">
      <is>
        <t>Капитальный ремонт (замена) кровли ТП-262 ул. Грдины, 19-А</t>
      </is>
    </oc>
    <nc r="B70"/>
  </rcc>
  <rcc rId="2201" sId="3">
    <oc r="C70" t="inlineStr">
      <is>
        <t>Счет-фактура №717</t>
      </is>
    </oc>
    <nc r="C70"/>
  </rcc>
  <rcc rId="2202" sId="3">
    <oc r="D70">
      <v>8</v>
    </oc>
    <nc r="D70"/>
  </rcc>
  <rcc rId="2203" sId="3">
    <oc r="F70" t="inlineStr">
      <is>
        <t>5-50/16 от 30.12.2016</t>
      </is>
    </oc>
    <nc r="F70"/>
  </rcc>
  <rcc rId="2204" sId="3">
    <oc r="G70">
      <f>0.259095*1000</f>
    </oc>
    <nc r="G70"/>
  </rcc>
  <rcc rId="2205" sId="3">
    <oc r="A71">
      <v>65</v>
    </oc>
    <nc r="A71"/>
  </rcc>
  <rcc rId="2206" sId="3">
    <oc r="B71" t="inlineStr">
      <is>
        <t>Капитальный ремонт (замена) кровли ТП-263 ул.Транспортная, 121-А</t>
      </is>
    </oc>
    <nc r="B71"/>
  </rcc>
  <rcc rId="2207" sId="3">
    <oc r="C71" t="inlineStr">
      <is>
        <t>Счет-фактура №718</t>
      </is>
    </oc>
    <nc r="C71"/>
  </rcc>
  <rcc rId="2208" sId="3">
    <oc r="D71">
      <v>9</v>
    </oc>
    <nc r="D71"/>
  </rcc>
  <rcc rId="2209" sId="3">
    <oc r="F71" t="inlineStr">
      <is>
        <t>5-42/16 от 30.12.2016</t>
      </is>
    </oc>
    <nc r="F71"/>
  </rcc>
  <rcc rId="2210" sId="3">
    <oc r="G71">
      <f>0.250972*1000</f>
    </oc>
    <nc r="G71"/>
  </rcc>
  <rcc rId="2211" sId="3">
    <oc r="A72">
      <v>66</v>
    </oc>
    <nc r="A72"/>
  </rcc>
  <rcc rId="2212" sId="3">
    <oc r="B72" t="inlineStr">
      <is>
        <t>Капитальный ремонт (замена) дверей в РУ-6кВ, РУ-0,4кВ, ТМ-1,2 ТП-266</t>
      </is>
    </oc>
    <nc r="B72"/>
  </rcc>
  <rcc rId="2213" sId="3">
    <oc r="C72" t="inlineStr">
      <is>
        <t xml:space="preserve">Счет-фактура №719 </t>
      </is>
    </oc>
    <nc r="C72"/>
  </rcc>
  <rcc rId="2214" sId="3">
    <oc r="D72">
      <v>6</v>
    </oc>
    <nc r="D72"/>
  </rcc>
  <rcc rId="2215" sId="3">
    <oc r="F72" t="inlineStr">
      <is>
        <t>5-259/15 от 30.12.2016</t>
      </is>
    </oc>
    <nc r="F72"/>
  </rcc>
  <rcc rId="2216" sId="3">
    <oc r="G72">
      <f>0.281998*1000</f>
    </oc>
    <nc r="G72"/>
  </rcc>
  <rcc rId="2217" sId="3">
    <oc r="A73">
      <v>67</v>
    </oc>
    <nc r="A73"/>
  </rcc>
  <rcc rId="2218" sId="3">
    <oc r="B73" t="inlineStr">
      <is>
        <t>Капитальный ремонт ТП-266 в РУ-0,4кВ, РУ-6кВ устройство бетонных полов</t>
      </is>
    </oc>
    <nc r="B73"/>
  </rcc>
  <rcc rId="2219" sId="3">
    <oc r="C73" t="inlineStr">
      <is>
        <t>Счет-фактура №523</t>
      </is>
    </oc>
    <nc r="C73"/>
  </rcc>
  <rcc rId="2220" sId="3">
    <oc r="D73">
      <v>5</v>
    </oc>
    <nc r="D73"/>
  </rcc>
  <rcc rId="2221" sId="3">
    <oc r="F73" t="inlineStr">
      <is>
        <t>5-304/16 от 30.11.2016</t>
      </is>
    </oc>
    <nc r="F73"/>
  </rcc>
  <rcc rId="2222" sId="3">
    <oc r="G73">
      <f>0.025731*1000</f>
    </oc>
    <nc r="G73"/>
  </rcc>
  <rcc rId="2223" sId="3">
    <oc r="A74">
      <v>68</v>
    </oc>
    <nc r="A74"/>
  </rcc>
  <rcc rId="2224" sId="3">
    <oc r="B74" t="inlineStr">
      <is>
        <t>Капитальный ремонт ТП-267 устройство бетонных полов</t>
      </is>
    </oc>
    <nc r="B74"/>
  </rcc>
  <rcc rId="2225" sId="3">
    <oc r="C74" t="inlineStr">
      <is>
        <t>Счет-фактура №493</t>
      </is>
    </oc>
    <nc r="C74"/>
  </rcc>
  <rcc rId="2226" sId="3">
    <oc r="D74">
      <v>5</v>
    </oc>
    <nc r="D74"/>
  </rcc>
  <rcc rId="2227" sId="3">
    <oc r="F74" t="inlineStr">
      <is>
        <t>5-194а/16 от 31.10.2016</t>
      </is>
    </oc>
    <nc r="F74"/>
  </rcc>
  <rcc rId="2228" sId="3">
    <oc r="G74">
      <f>0.051422*1000</f>
    </oc>
    <nc r="G74"/>
  </rcc>
  <rcc rId="2229" sId="3">
    <oc r="A75">
      <v>69</v>
    </oc>
    <nc r="A75"/>
  </rcc>
  <rcc rId="2230" sId="3">
    <oc r="B75" t="inlineStr">
      <is>
        <t>Капитальный ремонт дверей в ТП-267 (РУ-6 кВ, РУ-0,4 кВ, ТМ-1, ТМ-2)</t>
      </is>
    </oc>
    <nc r="B75"/>
  </rcc>
  <rcc rId="2231" sId="3">
    <oc r="C75" t="inlineStr">
      <is>
        <t>Счет-фактура №720</t>
      </is>
    </oc>
    <nc r="C75"/>
  </rcc>
  <rcc rId="2232" sId="3">
    <oc r="D75">
      <v>6</v>
    </oc>
    <nc r="D75"/>
  </rcc>
  <rcc rId="2233" sId="3">
    <oc r="F75" t="inlineStr">
      <is>
        <t>5-283/15 от 30.12.2016</t>
      </is>
    </oc>
    <nc r="F75"/>
  </rcc>
  <rcc rId="2234" sId="3">
    <oc r="G75">
      <f>0.296724*1000</f>
    </oc>
    <nc r="G75"/>
  </rcc>
  <rcc rId="2235" sId="3">
    <oc r="A76">
      <v>70</v>
    </oc>
    <nc r="A76"/>
  </rcc>
  <rcc rId="2236" sId="3">
    <oc r="B76" t="inlineStr">
      <is>
        <t>Капитальный ремонт (замена) кровли ТП-267 ул. Транспортная, 123А</t>
      </is>
    </oc>
    <nc r="B76"/>
  </rcc>
  <rcc rId="2237" sId="3">
    <oc r="C76" t="inlineStr">
      <is>
        <t>Счет-фактура №539</t>
      </is>
    </oc>
    <nc r="C76"/>
  </rcc>
  <rcc rId="2238" sId="3">
    <oc r="D76">
      <v>8</v>
    </oc>
    <nc r="D76"/>
  </rcc>
  <rcc rId="2239" sId="3">
    <oc r="F76" t="inlineStr">
      <is>
        <t>5-43/16 от 30.12.2016</t>
      </is>
    </oc>
    <nc r="F76"/>
  </rcc>
  <rcc rId="2240" sId="3">
    <oc r="G76">
      <f>0.244185*1000</f>
    </oc>
    <nc r="G76"/>
  </rcc>
  <rcc rId="2241" sId="3">
    <oc r="A77">
      <v>71</v>
    </oc>
    <nc r="A77"/>
  </rcc>
  <rcc rId="2242" sId="3">
    <oc r="B77" t="inlineStr">
      <is>
        <t>Замена дверей в ТП-283 (РУ-0,4 кВ, РУ-6 кВ)</t>
      </is>
    </oc>
    <nc r="B77"/>
  </rcc>
  <rcc rId="2243" sId="3">
    <oc r="C77" t="inlineStr">
      <is>
        <t xml:space="preserve">Счет-фактура №721 </t>
      </is>
    </oc>
    <nc r="C77"/>
  </rcc>
  <rcc rId="2244" sId="3">
    <oc r="D77">
      <v>6</v>
    </oc>
    <nc r="D77"/>
  </rcc>
  <rcc rId="2245" sId="3">
    <oc r="F77" t="inlineStr">
      <is>
        <t>5-287/15 от 30.12.2016</t>
      </is>
    </oc>
    <nc r="F77"/>
  </rcc>
  <rcc rId="2246" sId="3">
    <oc r="G77">
      <f>0.124838*1000</f>
    </oc>
    <nc r="G77"/>
  </rcc>
  <rcc rId="2247" sId="3">
    <oc r="A78">
      <v>72</v>
    </oc>
    <nc r="A78"/>
  </rcc>
  <rcc rId="2248" sId="3">
    <oc r="B78" t="inlineStr">
      <is>
        <t>Капитальный ремонт (замена) кровли ТП-283 пр. Дружбы, 7А</t>
      </is>
    </oc>
    <nc r="B78"/>
  </rcc>
  <rcc rId="2249" sId="3">
    <oc r="C78" t="inlineStr">
      <is>
        <t>Счет-фактура №540</t>
      </is>
    </oc>
    <nc r="C78"/>
  </rcc>
  <rcc rId="2250" sId="3">
    <oc r="D78">
      <v>8</v>
    </oc>
    <nc r="D78"/>
  </rcc>
  <rcc rId="2251" sId="3">
    <oc r="F78" t="inlineStr">
      <is>
        <t>5-44/16 от 30.12.2016</t>
      </is>
    </oc>
    <nc r="F78"/>
  </rcc>
  <rcc rId="2252" sId="3">
    <oc r="G78">
      <f>0.244049*1000</f>
    </oc>
    <nc r="G78"/>
  </rcc>
  <rcc rId="2253" sId="3">
    <oc r="A79">
      <v>73</v>
    </oc>
    <nc r="A79"/>
  </rcc>
  <rcc rId="2254" sId="3">
    <oc r="B79" t="inlineStr">
      <is>
        <t>Капитальный ремонт (замена) кровли ТП-284 пр. Октябрьский, 85-А</t>
      </is>
    </oc>
    <nc r="B79"/>
  </rcc>
  <rcc rId="2255" sId="3">
    <oc r="C79" t="inlineStr">
      <is>
        <t>Счет-фактура №722</t>
      </is>
    </oc>
    <nc r="C79"/>
  </rcc>
  <rcc rId="2256" sId="3">
    <oc r="D79">
      <v>8</v>
    </oc>
    <nc r="D79"/>
  </rcc>
  <rcc rId="2257" sId="3">
    <oc r="F79" t="inlineStr">
      <is>
        <t>5-45/16 от 30.12.2016</t>
      </is>
    </oc>
    <nc r="F79"/>
  </rcc>
  <rcc rId="2258" sId="3">
    <oc r="G79">
      <f>0.24218*1000</f>
    </oc>
    <nc r="G79"/>
  </rcc>
  <rcc rId="2259" sId="3">
    <oc r="A80">
      <v>74</v>
    </oc>
    <nc r="A80"/>
  </rcc>
  <rcc rId="2260" sId="3">
    <oc r="B80" t="inlineStr">
      <is>
        <t>Капитальный ремонт (замена) кровли ТП-285 ул. Батюшкова, 16А</t>
      </is>
    </oc>
    <nc r="B80"/>
  </rcc>
  <rcc rId="2261" sId="3">
    <oc r="C80" t="inlineStr">
      <is>
        <t>Счет-фактура №526</t>
      </is>
    </oc>
    <nc r="C80"/>
  </rcc>
  <rcc rId="2262" sId="3">
    <oc r="D80">
      <v>8</v>
    </oc>
    <nc r="D80"/>
  </rcc>
  <rcc rId="2263" sId="3">
    <oc r="A81">
      <v>75</v>
    </oc>
    <nc r="A81"/>
  </rcc>
  <rcc rId="2264" sId="3">
    <oc r="B81" t="inlineStr">
      <is>
        <t>Капитальный ремонт (замена) дверей в камерах ТМ-1, ТМ-2 (2,3х2,3 - 2шт) ТП-293</t>
      </is>
    </oc>
    <nc r="B81"/>
  </rcc>
  <rcc rId="2265" sId="3">
    <oc r="C81" t="inlineStr">
      <is>
        <t xml:space="preserve">Счет-фактура №723 </t>
      </is>
    </oc>
    <nc r="C81"/>
  </rcc>
  <rcc rId="2266" sId="3">
    <oc r="D81">
      <v>6</v>
    </oc>
    <nc r="D81"/>
  </rcc>
  <rcc rId="2267" sId="3">
    <oc r="F81" t="inlineStr">
      <is>
        <t>5-272/15 от 30.12.2016</t>
      </is>
    </oc>
    <nc r="F81"/>
  </rcc>
  <rcc rId="2268" sId="3">
    <oc r="G81">
      <f>0.169206*1000</f>
    </oc>
    <nc r="G81"/>
  </rcc>
  <rcc rId="2269" sId="3">
    <oc r="A82">
      <v>76</v>
    </oc>
    <nc r="A82"/>
  </rcc>
  <rcc rId="2270" sId="3">
    <oc r="B82" t="inlineStr">
      <is>
        <t>Капитальный ремонт ТП-294 - устройство бетонных полов</t>
      </is>
    </oc>
    <nc r="B82"/>
  </rcc>
  <rcc rId="2271" sId="3">
    <oc r="C82" t="inlineStr">
      <is>
        <t xml:space="preserve">Счет-фактура №524 </t>
      </is>
    </oc>
    <nc r="C82"/>
  </rcc>
  <rcc rId="2272" sId="3">
    <oc r="D82">
      <v>5</v>
    </oc>
    <nc r="D82"/>
  </rcc>
  <rcc rId="2273" sId="3">
    <oc r="F82" t="inlineStr">
      <is>
        <t>5-190/16 от 30.11.2016</t>
      </is>
    </oc>
    <nc r="F82"/>
  </rcc>
  <rcc rId="2274" sId="3">
    <oc r="G82">
      <f>0.096897*1000</f>
    </oc>
    <nc r="G82"/>
  </rcc>
  <rcc rId="2275" sId="3">
    <oc r="A83">
      <v>77</v>
    </oc>
    <nc r="A83"/>
  </rcc>
  <rcc rId="2276" sId="3">
    <oc r="B83" t="inlineStr">
      <is>
        <t>Капитальный ремонт ТП-295 в РУ-0,4 кВ, РУ-6 кВ - устройство бетонных полов</t>
      </is>
    </oc>
    <nc r="B83"/>
  </rcc>
  <rcc rId="2277" sId="3">
    <oc r="C83" t="inlineStr">
      <is>
        <t xml:space="preserve">Счет-фактура №495 </t>
      </is>
    </oc>
    <nc r="C83"/>
  </rcc>
  <rcc rId="2278" sId="3">
    <oc r="D83">
      <v>5</v>
    </oc>
    <nc r="D83"/>
  </rcc>
  <rcc rId="2279" sId="3">
    <oc r="F83" t="inlineStr">
      <is>
        <t>5-309/15 от 31.10.2016</t>
      </is>
    </oc>
    <nc r="F83"/>
  </rcc>
  <rcc rId="2280" sId="3">
    <oc r="G83">
      <f>0.042924*1000</f>
    </oc>
    <nc r="G83"/>
  </rcc>
  <rcc rId="2281" sId="3">
    <oc r="A84">
      <v>78</v>
    </oc>
    <nc r="A84"/>
  </rcc>
  <rcc rId="2282" sId="3">
    <oc r="B84" t="inlineStr">
      <is>
        <t>Капитальный ремонт ТП-301 устройство бетонных полов</t>
      </is>
    </oc>
    <nc r="B84"/>
  </rcc>
  <rcc rId="2283" sId="3">
    <oc r="C84" t="inlineStr">
      <is>
        <t xml:space="preserve">Счет-фактура №422 </t>
      </is>
    </oc>
    <nc r="C84"/>
  </rcc>
  <rcc rId="2284" sId="3">
    <oc r="D84">
      <v>5</v>
    </oc>
    <nc r="D84"/>
  </rcc>
  <rcc rId="2285" sId="3">
    <oc r="F84" t="inlineStr">
      <is>
        <t>5-188/16 от 30.09.2016</t>
      </is>
    </oc>
    <nc r="F84"/>
  </rcc>
  <rcc rId="2286" sId="3">
    <oc r="G84">
      <f>0.042307*1000</f>
    </oc>
    <nc r="G84"/>
  </rcc>
  <rcc rId="2287" sId="3">
    <oc r="A85">
      <v>79</v>
    </oc>
    <nc r="A85"/>
  </rcc>
  <rcc rId="2288" sId="3">
    <oc r="B85" t="inlineStr">
      <is>
        <t>Капитальный ремонт ТП-305 устройство бетонных полов</t>
      </is>
    </oc>
    <nc r="B85"/>
  </rcc>
  <rcc rId="2289" sId="3">
    <oc r="C85" t="inlineStr">
      <is>
        <t>Счет-фактура №499</t>
      </is>
    </oc>
    <nc r="C85"/>
  </rcc>
  <rcc rId="2290" sId="3">
    <oc r="D85">
      <v>5</v>
    </oc>
    <nc r="D85"/>
  </rcc>
  <rcc rId="2291" sId="3">
    <oc r="F85" t="inlineStr">
      <is>
        <t>5-189/16 от 31.10.2016</t>
      </is>
    </oc>
    <nc r="F85"/>
  </rcc>
  <rcc rId="2292" sId="3">
    <oc r="G85">
      <f>0.077969*1000</f>
    </oc>
    <nc r="G85"/>
  </rcc>
  <rcc rId="2293" sId="3">
    <oc r="A86">
      <v>80</v>
    </oc>
    <nc r="A86"/>
  </rcc>
  <rcc rId="2294" sId="3">
    <oc r="B86" t="inlineStr">
      <is>
        <t>Капитальный ремонт ТП-355 (устройство бетонных полов)</t>
      </is>
    </oc>
    <nc r="B86"/>
  </rcc>
  <rcc rId="2295" sId="3">
    <oc r="C86" t="inlineStr">
      <is>
        <t xml:space="preserve">Счет-фактура №428 </t>
      </is>
    </oc>
    <nc r="C86"/>
  </rcc>
  <rcc rId="2296" sId="3">
    <oc r="D86">
      <v>5</v>
    </oc>
    <nc r="D86"/>
  </rcc>
  <rcc rId="2297" sId="3">
    <oc r="F86" t="inlineStr">
      <is>
        <t>5-184/16 от 30.09.2016</t>
      </is>
    </oc>
    <nc r="F86"/>
  </rcc>
  <rcc rId="2298" sId="3">
    <oc r="G86">
      <f>0.016353*1000</f>
    </oc>
    <nc r="G86"/>
  </rcc>
  <rcc rId="2299" sId="3">
    <oc r="A87">
      <v>81</v>
    </oc>
    <nc r="A87"/>
  </rcc>
  <rcc rId="2300" sId="3">
    <oc r="B87" t="inlineStr">
      <is>
        <t>Капитальный ремонт ТП-356 (устройство бетонных полов)</t>
      </is>
    </oc>
    <nc r="B87"/>
  </rcc>
  <rcc rId="2301" sId="3">
    <oc r="C87" t="inlineStr">
      <is>
        <t xml:space="preserve">Счет-фактура №425 </t>
      </is>
    </oc>
    <nc r="C87"/>
  </rcc>
  <rcc rId="2302" sId="3">
    <oc r="D87">
      <v>5</v>
    </oc>
    <nc r="D87"/>
  </rcc>
  <rcc rId="2303" sId="3">
    <oc r="F87" t="inlineStr">
      <is>
        <t>5-184/16-1 от 30.09.2016</t>
      </is>
    </oc>
    <nc r="F87"/>
  </rcc>
  <rcc rId="2304" sId="3">
    <oc r="G87">
      <f>0.021899*1000</f>
    </oc>
    <nc r="G87"/>
  </rcc>
  <rcc rId="2305" sId="3">
    <oc r="A88">
      <v>82</v>
    </oc>
    <nc r="A88"/>
  </rcc>
  <rcc rId="2306" sId="3">
    <oc r="B88" t="inlineStr">
      <is>
        <t>Капитальный ремонт ТП-357 (устройство бетонных полов)</t>
      </is>
    </oc>
    <nc r="B88"/>
  </rcc>
  <rcc rId="2307" sId="3">
    <oc r="C88" t="inlineStr">
      <is>
        <t xml:space="preserve">Счет-фактура №424 </t>
      </is>
    </oc>
    <nc r="C88"/>
  </rcc>
  <rcc rId="2308" sId="3">
    <oc r="D88">
      <v>5</v>
    </oc>
    <nc r="D88"/>
  </rcc>
  <rcc rId="2309" sId="3">
    <oc r="F88" t="inlineStr">
      <is>
        <t>5-184а/16 от 30.09.2016</t>
      </is>
    </oc>
    <nc r="F88"/>
  </rcc>
  <rcc rId="2310" sId="3">
    <oc r="G88">
      <f>0.024751*1000</f>
    </oc>
    <nc r="G88"/>
  </rcc>
  <rcc rId="2311" sId="3">
    <oc r="A89">
      <v>83</v>
    </oc>
    <nc r="A89"/>
  </rcc>
  <rcc rId="2312" sId="3">
    <oc r="B89" t="inlineStr">
      <is>
        <t>Капитальный ремонт кровли ТП-364 ул. Ленина, 87-А</t>
      </is>
    </oc>
    <nc r="B89"/>
  </rcc>
  <rcc rId="2313" sId="3">
    <oc r="C89" t="inlineStr">
      <is>
        <t>Счет-фактура №726</t>
      </is>
    </oc>
    <nc r="C89"/>
  </rcc>
  <rcc rId="2314" sId="3">
    <oc r="D89">
      <v>9</v>
    </oc>
    <nc r="D89"/>
  </rcc>
  <rcc rId="2315" sId="3">
    <oc r="F89" t="inlineStr">
      <is>
        <t>5-32/16 от 30.12.2016</t>
      </is>
    </oc>
    <nc r="F89"/>
  </rcc>
  <rcc rId="2316" sId="3">
    <oc r="G89">
      <f>0.293464*1000</f>
    </oc>
    <nc r="G89"/>
  </rcc>
  <rcc rId="2317" sId="3">
    <oc r="A90">
      <v>84</v>
    </oc>
    <nc r="A90"/>
  </rcc>
  <rcc rId="2318" sId="3">
    <oc r="B90" t="inlineStr">
      <is>
        <t>Капитальный ремонт кровли ТП-365 ул. Петракова, 72-А</t>
      </is>
    </oc>
    <nc r="B90"/>
  </rcc>
  <rcc rId="2319" sId="3">
    <oc r="C90" t="inlineStr">
      <is>
        <t>Счет-фактура №727</t>
      </is>
    </oc>
    <nc r="C90"/>
  </rcc>
  <rcc rId="2320" sId="3">
    <oc r="D90">
      <v>9</v>
    </oc>
    <nc r="D90"/>
  </rcc>
  <rcc rId="2321" sId="3">
    <oc r="F90" t="inlineStr">
      <is>
        <t>5-32-А/16 от 30.12.2016</t>
      </is>
    </oc>
    <nc r="F90"/>
  </rcc>
  <rcc rId="2322" sId="3">
    <oc r="G90">
      <f>0.293464*1000</f>
    </oc>
    <nc r="G90"/>
  </rcc>
  <rcc rId="2323" sId="3">
    <oc r="A91">
      <v>85</v>
    </oc>
    <nc r="A91"/>
  </rcc>
  <rcc rId="2324" sId="3">
    <oc r="B91" t="inlineStr">
      <is>
        <t>Капитальный ремонт кровли ТП-374 ул. Обнорского, 1-А</t>
      </is>
    </oc>
    <nc r="B91"/>
  </rcc>
  <rcc rId="2325" sId="3">
    <oc r="C91" t="inlineStr">
      <is>
        <t>Счет-фактура №729</t>
      </is>
    </oc>
    <nc r="C91"/>
  </rcc>
  <rcc rId="2326" sId="3">
    <oc r="D91">
      <v>9</v>
    </oc>
    <nc r="D91"/>
  </rcc>
  <rcc rId="2327" sId="3">
    <oc r="F91" t="inlineStr">
      <is>
        <t>5-28/16 от 30.12.2016</t>
      </is>
    </oc>
    <nc r="F91"/>
  </rcc>
  <rcc rId="2328" sId="3">
    <oc r="G91">
      <f>0.240365*1000</f>
    </oc>
    <nc r="G91"/>
  </rcc>
  <rcc rId="2329" sId="3">
    <oc r="A92">
      <v>86</v>
    </oc>
    <nc r="A92"/>
  </rcc>
  <rcc rId="2330" sId="3">
    <oc r="B92" t="inlineStr">
      <is>
        <t>Капитальный ремонт кровли ТП-376 ул. Петракова, 66-А</t>
      </is>
    </oc>
    <nc r="B92"/>
  </rcc>
  <rcc rId="2331" sId="3">
    <oc r="C92" t="inlineStr">
      <is>
        <t>Счет-фактура №730</t>
      </is>
    </oc>
    <nc r="C92"/>
  </rcc>
  <rcc rId="2332" sId="3">
    <oc r="D92">
      <v>9</v>
    </oc>
    <nc r="D92"/>
  </rcc>
  <rcc rId="2333" sId="3">
    <oc r="F92" t="inlineStr">
      <is>
        <t>5-29/16 от 30.12.2016</t>
      </is>
    </oc>
    <nc r="F92"/>
  </rcc>
  <rcc rId="2334" sId="3">
    <oc r="G92">
      <f>0.22501*1000</f>
    </oc>
    <nc r="G92"/>
  </rcc>
  <rcc rId="2335" sId="3">
    <oc r="A93">
      <v>87</v>
    </oc>
    <nc r="A93"/>
  </rcc>
  <rcc rId="2336" sId="3">
    <oc r="B93" t="inlineStr">
      <is>
        <t>Капитальный ремонт кровли ТП-380 ул. Смирного, 11-Б</t>
      </is>
    </oc>
    <nc r="B93"/>
  </rcc>
  <rcc rId="2337" sId="3">
    <oc r="C93" t="inlineStr">
      <is>
        <t>Счет-фактура №731</t>
      </is>
    </oc>
    <nc r="C93"/>
  </rcc>
  <rcc rId="2338" sId="3">
    <oc r="D93">
      <v>8</v>
    </oc>
    <nc r="D93"/>
  </rcc>
  <rcc rId="2339" sId="3">
    <oc r="F93" t="inlineStr">
      <is>
        <t>5-27/16 от 30.12.2016</t>
      </is>
    </oc>
    <nc r="F93"/>
  </rcc>
  <rcc rId="2340" sId="3">
    <oc r="G93">
      <f>0.195917*1000</f>
    </oc>
    <nc r="G93"/>
  </rcc>
  <rcc rId="2341" sId="3">
    <oc r="A94">
      <v>88</v>
    </oc>
    <nc r="A94"/>
  </rcc>
  <rcc rId="2342" sId="3">
    <oc r="B94" t="inlineStr">
      <is>
        <t>Капитальный ремонт кровли ТП-383 ул. Метелкина, 13-А</t>
      </is>
    </oc>
    <nc r="B94"/>
  </rcc>
  <rcc rId="2343" sId="3">
    <oc r="C94" t="inlineStr">
      <is>
        <t>Счет-фактура №732</t>
      </is>
    </oc>
    <nc r="C94"/>
  </rcc>
  <rcc rId="2344" sId="3">
    <oc r="D94">
      <v>9</v>
    </oc>
    <nc r="D94"/>
  </rcc>
  <rcc rId="2345" sId="3">
    <oc r="F94" t="inlineStr">
      <is>
        <t>5-37/16 от 30.12.2016</t>
      </is>
    </oc>
    <nc r="F94"/>
  </rcc>
  <rcc rId="2346" sId="3">
    <oc r="G94">
      <f>0.319636*1000</f>
    </oc>
    <nc r="G94"/>
  </rcc>
  <rcc rId="2347" sId="3">
    <oc r="A95">
      <v>89</v>
    </oc>
    <nc r="A95"/>
  </rcc>
  <rcc rId="2348" sId="3">
    <oc r="B95" t="inlineStr">
      <is>
        <t>Капитальный ремонт (замена) кровли ТП-384 ул. Обнорского, 59-А</t>
      </is>
    </oc>
    <nc r="B95"/>
  </rcc>
  <rcc rId="2349" sId="3">
    <oc r="C95" t="inlineStr">
      <is>
        <t>Счет-фактура №733</t>
      </is>
    </oc>
    <nc r="C95"/>
  </rcc>
  <rcc rId="2350" sId="3">
    <oc r="D95">
      <v>9</v>
    </oc>
    <nc r="D95"/>
  </rcc>
  <rcc rId="2351" sId="3">
    <oc r="F95" t="inlineStr">
      <is>
        <t>5-36/16 от 30.12.2016</t>
      </is>
    </oc>
    <nc r="F95"/>
  </rcc>
  <rcc rId="2352" sId="3">
    <oc r="G95">
      <f>0.210617*1000</f>
    </oc>
    <nc r="G95"/>
  </rcc>
  <rcc rId="2353" sId="3">
    <oc r="A96">
      <v>90</v>
    </oc>
    <nc r="A96"/>
  </rcc>
  <rcc rId="2354" sId="3">
    <oc r="B96" t="inlineStr">
      <is>
        <t>Капитальный ремонт (замена) кровли ТП-392 ул. Левитана, 1 стр. 5</t>
      </is>
    </oc>
    <nc r="B96"/>
  </rcc>
  <rcc rId="2355" sId="3">
    <oc r="C96" t="inlineStr">
      <is>
        <t>Счет-фактура №734</t>
      </is>
    </oc>
    <nc r="C96"/>
  </rcc>
  <rcc rId="2356" sId="3">
    <oc r="D96">
      <v>8</v>
    </oc>
    <nc r="D96"/>
  </rcc>
  <rcc rId="2357" sId="3">
    <oc r="F96" t="inlineStr">
      <is>
        <t>5-38/16 от 30.12.2016</t>
      </is>
    </oc>
    <nc r="F96"/>
  </rcc>
  <rcc rId="2358" sId="3">
    <oc r="G96">
      <f>0.168353*1000</f>
    </oc>
    <nc r="G96"/>
  </rcc>
  <rcc rId="2359" sId="3">
    <oc r="A97">
      <v>91</v>
    </oc>
    <nc r="A97"/>
  </rcc>
  <rcc rId="2360" sId="3">
    <oc r="B97" t="inlineStr">
      <is>
        <t>Капитальный ремонт ТП-392 (устройство бетонных полов)</t>
      </is>
    </oc>
    <nc r="B97"/>
  </rcc>
  <rcc rId="2361" sId="3">
    <oc r="C97" t="inlineStr">
      <is>
        <t xml:space="preserve">Счет-фактура №427 </t>
      </is>
    </oc>
    <nc r="C97"/>
  </rcc>
  <rcc rId="2362" sId="3">
    <oc r="D97">
      <v>5</v>
    </oc>
    <nc r="D97"/>
  </rcc>
  <rcc rId="2363" sId="3">
    <oc r="F97" t="inlineStr">
      <is>
        <t>5-185/16 от 30.09.2016</t>
      </is>
    </oc>
    <nc r="F97"/>
  </rcc>
  <rcc rId="2364" sId="3">
    <oc r="G97">
      <f>0.026796*1000</f>
    </oc>
    <nc r="G97"/>
  </rcc>
  <rcc rId="2365" sId="3">
    <oc r="A98">
      <v>92</v>
    </oc>
    <nc r="A98"/>
  </rcc>
  <rcc rId="2366" sId="3">
    <oc r="B98" t="inlineStr">
      <is>
        <t>Капитальный ремонт (замена) кровли ТП-393 ул. Фонвизина, 2-Б</t>
      </is>
    </oc>
    <nc r="B98"/>
  </rcc>
  <rcc rId="2367" sId="3">
    <oc r="C98" t="inlineStr">
      <is>
        <t>Счет-фактура №735</t>
      </is>
    </oc>
    <nc r="C98"/>
  </rcc>
  <rcc rId="2368" sId="3">
    <oc r="D98">
      <v>8</v>
    </oc>
    <nc r="D98"/>
  </rcc>
  <rcc rId="2369" sId="3">
    <oc r="F98" t="inlineStr">
      <is>
        <t>5-40/16 от 30.12.2016</t>
      </is>
    </oc>
    <nc r="F98"/>
  </rcc>
  <rcc rId="2370" sId="3">
    <oc r="G98">
      <f>0.166425*1000</f>
    </oc>
    <nc r="G98"/>
  </rcc>
  <rcc rId="2371" sId="3">
    <oc r="A99">
      <v>93</v>
    </oc>
    <nc r="A99"/>
  </rcc>
  <rcc rId="2372" sId="3">
    <oc r="B99" t="inlineStr">
      <is>
        <t>Капитальный ремонт ТП-393 (устройство бетонных полов)</t>
      </is>
    </oc>
    <nc r="B99"/>
  </rcc>
  <rcc rId="2373" sId="3">
    <oc r="C99" t="inlineStr">
      <is>
        <t>Счет-фактура №426</t>
      </is>
    </oc>
    <nc r="C99"/>
  </rcc>
  <rcc rId="2374" sId="3">
    <oc r="D99">
      <v>5</v>
    </oc>
    <nc r="D99"/>
  </rcc>
  <rcc rId="2375" sId="3">
    <oc r="F99" t="inlineStr">
      <is>
        <t>5-186/16 от 30.09.2016</t>
      </is>
    </oc>
    <nc r="F99"/>
  </rcc>
  <rcc rId="2376" sId="3">
    <oc r="G99">
      <f>0.022896*1000</f>
    </oc>
    <nc r="G99"/>
  </rcc>
  <rcc rId="2377" sId="3">
    <oc r="A100">
      <v>94</v>
    </oc>
    <nc r="A100"/>
  </rcc>
  <rcc rId="2378" sId="3">
    <oc r="B100" t="inlineStr">
      <is>
        <t>Капитальный ремонт (замена) кровли ТП-394 пр. Защитный, 20-А</t>
      </is>
    </oc>
    <nc r="B100"/>
  </rcc>
  <rcc rId="2379" sId="3">
    <oc r="C100" t="inlineStr">
      <is>
        <t>Счет-фактура №736</t>
      </is>
    </oc>
    <nc r="C100"/>
  </rcc>
  <rcc rId="2380" sId="3">
    <oc r="D100">
      <v>8</v>
    </oc>
    <nc r="D100"/>
  </rcc>
  <rcc rId="2381" sId="3">
    <oc r="F100" t="inlineStr">
      <is>
        <t>5-39/16 от 30.12.2016</t>
      </is>
    </oc>
    <nc r="F100"/>
  </rcc>
  <rcc rId="2382" sId="3">
    <oc r="G100">
      <f>0.166425*1000</f>
    </oc>
    <nc r="G100"/>
  </rcc>
  <rcc rId="2383" sId="3">
    <oc r="A101">
      <v>95</v>
    </oc>
    <nc r="A101"/>
  </rcc>
  <rcc rId="2384" sId="3">
    <oc r="B101" t="inlineStr">
      <is>
        <t>Капитальный ремонт ТП-399 Устройство бетонных полов, ремонт кирпичной кладки</t>
      </is>
    </oc>
    <nc r="B101"/>
  </rcc>
  <rcc rId="2385" sId="3">
    <oc r="C101" t="inlineStr">
      <is>
        <t xml:space="preserve">Счет-фактура №423 </t>
      </is>
    </oc>
    <nc r="C101"/>
  </rcc>
  <rcc rId="2386" sId="3">
    <oc r="D101">
      <v>5</v>
    </oc>
    <nc r="D101"/>
  </rcc>
  <rcc rId="2387" sId="3">
    <oc r="F101" t="inlineStr">
      <is>
        <t>5-187/16 от 30.09.2016</t>
      </is>
    </oc>
    <nc r="F101"/>
  </rcc>
  <rcc rId="2388" sId="3">
    <oc r="G101">
      <f>0.055094*1000</f>
    </oc>
    <nc r="G101"/>
  </rcc>
  <rcc rId="2389" sId="3">
    <oc r="A102">
      <v>96</v>
    </oc>
    <nc r="A102"/>
  </rcc>
  <rcc rId="2390" sId="3">
    <oc r="B102" t="inlineStr">
      <is>
        <t>Замена дверей в камерах ТМ-1, ТМ-2 (1,7х3,0-2шт) ТП-421</t>
      </is>
    </oc>
    <nc r="B102"/>
  </rcc>
  <rcc rId="2391" sId="3">
    <oc r="C102" t="inlineStr">
      <is>
        <t xml:space="preserve">Счет-фактура №737 </t>
      </is>
    </oc>
    <nc r="C102"/>
  </rcc>
  <rcc rId="2392" sId="3">
    <oc r="D102">
      <v>6</v>
    </oc>
    <nc r="D102"/>
  </rcc>
  <rcc rId="2393" sId="3">
    <oc r="F102" t="inlineStr">
      <is>
        <t>5-358/15 от 30.12.2016</t>
      </is>
    </oc>
    <nc r="F102"/>
  </rcc>
  <rcc rId="2394" sId="3">
    <oc r="G102">
      <f>0.166199*1000</f>
    </oc>
    <nc r="G102"/>
  </rcc>
  <rcc rId="2395" sId="3">
    <oc r="A103">
      <v>97</v>
    </oc>
    <nc r="A103"/>
  </rcc>
  <rcc rId="2396" sId="3">
    <oc r="B103" t="inlineStr">
      <is>
        <t>Замена дверей в камерах ТМ-1, ТМ-2 (1,7х2,8-2шт) ТП-424</t>
      </is>
    </oc>
    <nc r="B103"/>
  </rcc>
  <rcc rId="2397" sId="3">
    <oc r="C103" t="inlineStr">
      <is>
        <t xml:space="preserve">Счет-фактура №738 </t>
      </is>
    </oc>
    <nc r="C103"/>
  </rcc>
  <rcc rId="2398" sId="3">
    <oc r="D103">
      <v>6</v>
    </oc>
    <nc r="D103"/>
  </rcc>
  <rcc rId="2399" sId="3">
    <oc r="F103" t="inlineStr">
      <is>
        <t>5-357/15 от 30.12.2016</t>
      </is>
    </oc>
    <nc r="F103"/>
  </rcc>
  <rcc rId="2400" sId="3">
    <oc r="G103">
      <f>0.160795*1000</f>
    </oc>
    <nc r="G103"/>
  </rcc>
  <rcc rId="2401" sId="3">
    <oc r="A104">
      <v>98</v>
    </oc>
    <nc r="A104"/>
  </rcc>
  <rcc rId="2402" sId="3">
    <oc r="B104" t="inlineStr">
      <is>
        <t>Замена дверей в камерах ТМ-1, ТМ-2 (1,7х2,7-2шт) в ТП-425</t>
      </is>
    </oc>
    <nc r="B104"/>
  </rcc>
  <rcc rId="2403" sId="3">
    <oc r="C104" t="inlineStr">
      <is>
        <t>Счет-фактура №739</t>
      </is>
    </oc>
    <nc r="C104"/>
  </rcc>
  <rcc rId="2404" sId="3">
    <oc r="D104">
      <v>6</v>
    </oc>
    <nc r="D104"/>
  </rcc>
  <rcc rId="2405" sId="3">
    <oc r="F104" t="inlineStr">
      <is>
        <t>5-356/15 от 30.12.2016</t>
      </is>
    </oc>
    <nc r="F104"/>
  </rcc>
  <rcc rId="2406" sId="3">
    <oc r="G104">
      <f>0.160869*1000</f>
    </oc>
    <nc r="G104"/>
  </rcc>
  <rcc rId="2407" sId="3">
    <oc r="A105">
      <v>99</v>
    </oc>
    <nc r="A105"/>
  </rcc>
  <rcc rId="2408" sId="3">
    <oc r="B105" t="inlineStr">
      <is>
        <t>Замена дверей в камерах ТМ-1, ТМ-2 (1,5х2,4-2шт) ТП-427</t>
      </is>
    </oc>
    <nc r="B105"/>
  </rcc>
  <rcc rId="2409" sId="3">
    <oc r="C105" t="inlineStr">
      <is>
        <t>Счет-фактура №740</t>
      </is>
    </oc>
    <nc r="C105"/>
  </rcc>
  <rcc rId="2410" sId="3">
    <oc r="D105">
      <v>6</v>
    </oc>
    <nc r="D105"/>
  </rcc>
  <rcc rId="2411" sId="3">
    <oc r="F105" t="inlineStr">
      <is>
        <t>5-355/15 от 30.12.2016</t>
      </is>
    </oc>
    <nc r="F105"/>
  </rcc>
  <rcc rId="2412" sId="3">
    <oc r="G105">
      <f>0.115978*1000</f>
    </oc>
    <nc r="G105"/>
  </rcc>
  <rcc rId="2413" sId="3">
    <oc r="A106">
      <v>100</v>
    </oc>
    <nc r="A106"/>
  </rcc>
  <rcc rId="2414" sId="3">
    <oc r="B106" t="inlineStr">
      <is>
        <t>Замена дверей в ТП-434 (ТМ-1)</t>
      </is>
    </oc>
    <nc r="B106"/>
  </rcc>
  <rcc rId="2415" sId="3">
    <oc r="C106" t="inlineStr">
      <is>
        <t>Счет-фактура №741</t>
      </is>
    </oc>
    <nc r="C106"/>
  </rcc>
  <rcc rId="2416" sId="3">
    <oc r="D106">
      <v>6</v>
    </oc>
    <nc r="D106"/>
  </rcc>
  <rcc rId="2417" sId="3">
    <oc r="F106" t="inlineStr">
      <is>
        <t>5-350/15 от 30.12.2016</t>
      </is>
    </oc>
    <nc r="F106"/>
  </rcc>
  <rcc rId="2418" sId="3">
    <oc r="G106">
      <f>0.164693*1000</f>
    </oc>
    <nc r="G106"/>
  </rcc>
  <rcc rId="2419" sId="3">
    <oc r="A107">
      <v>101</v>
    </oc>
    <nc r="A107"/>
  </rcc>
  <rcc rId="2420" sId="3">
    <oc r="B107" t="inlineStr">
      <is>
        <t>Замена дверей в камерах ТМ-1, ТМ-2 (1,7х2,8-2шт) ТП-436</t>
      </is>
    </oc>
    <nc r="B107"/>
  </rcc>
  <rcc rId="2421" sId="3">
    <oc r="C107" t="inlineStr">
      <is>
        <t xml:space="preserve">Счет-фактура №742 </t>
      </is>
    </oc>
    <nc r="C107"/>
  </rcc>
  <rcc rId="2422" sId="3">
    <oc r="D107">
      <v>6</v>
    </oc>
    <nc r="D107"/>
  </rcc>
  <rcc rId="2423" sId="3">
    <oc r="F107" t="inlineStr">
      <is>
        <t>5-352/15 от 30.12.2016</t>
      </is>
    </oc>
    <nc r="F107"/>
  </rcc>
  <rcc rId="2424" sId="3">
    <oc r="G107">
      <f>0.160795*1000</f>
    </oc>
    <nc r="G107"/>
  </rcc>
  <rcc rId="2425" sId="3">
    <oc r="A108">
      <v>102</v>
    </oc>
    <nc r="A108"/>
  </rcc>
  <rcc rId="2426" sId="3">
    <oc r="B108" t="inlineStr">
      <is>
        <t>Замена дверей в камере ТМ-1 (1,7х2,7-1шт) ТП-437</t>
      </is>
    </oc>
    <nc r="B108"/>
  </rcc>
  <rcc rId="2427" sId="3">
    <oc r="C108" t="inlineStr">
      <is>
        <t xml:space="preserve">Счет-фактура №743 </t>
      </is>
    </oc>
    <nc r="C108"/>
  </rcc>
  <rcc rId="2428" sId="3">
    <oc r="D108">
      <v>6</v>
    </oc>
    <nc r="D108"/>
  </rcc>
  <rcc rId="2429" sId="3">
    <oc r="F108" t="inlineStr">
      <is>
        <t>5-354/15 от 30.12.2016</t>
      </is>
    </oc>
    <nc r="F108"/>
  </rcc>
  <rcc rId="2430" sId="3">
    <oc r="G108">
      <f>0.076506*1000</f>
    </oc>
    <nc r="G108"/>
  </rcc>
  <rcc rId="2431" sId="3">
    <oc r="A109">
      <v>103</v>
    </oc>
    <nc r="A109"/>
  </rcc>
  <rcc rId="2432" sId="3">
    <oc r="B109" t="inlineStr">
      <is>
        <t>Замена дверей в камерах ТМ-1, ТМ-2 (1,7х2,8-2шт) в ТП-438</t>
      </is>
    </oc>
    <nc r="B109"/>
  </rcc>
  <rcc rId="2433" sId="3">
    <oc r="C109" t="inlineStr">
      <is>
        <t>Счет-фактура №744</t>
      </is>
    </oc>
    <nc r="C109"/>
  </rcc>
  <rcc rId="2434" sId="3">
    <oc r="D109">
      <v>6</v>
    </oc>
    <nc r="D109"/>
  </rcc>
  <rcc rId="2435" sId="3">
    <oc r="F109" t="inlineStr">
      <is>
        <t>5-349/15 от 30.12.2016</t>
      </is>
    </oc>
    <nc r="F109"/>
  </rcc>
  <rcc rId="2436" sId="3">
    <oc r="G109">
      <f>0.16092*1000</f>
    </oc>
    <nc r="G109"/>
  </rcc>
  <rcc rId="2437" sId="3">
    <oc r="A110">
      <v>104</v>
    </oc>
    <nc r="A110"/>
  </rcc>
  <rcc rId="2438" sId="3">
    <oc r="B110" t="inlineStr">
      <is>
        <t>Замена дверей в камере ТМ-1 (1,7х2,7-1шт) ТП-440</t>
      </is>
    </oc>
    <nc r="B110"/>
  </rcc>
  <rcc rId="2439" sId="3">
    <oc r="C110" t="inlineStr">
      <is>
        <t xml:space="preserve">Счет-фактура №745 </t>
      </is>
    </oc>
    <nc r="C110"/>
  </rcc>
  <rcc rId="2440" sId="3">
    <oc r="D110">
      <v>6</v>
    </oc>
    <nc r="D110"/>
  </rcc>
  <rcc rId="2441" sId="3">
    <oc r="F110" t="inlineStr">
      <is>
        <t>5-353/15 от 30.12.2016</t>
      </is>
    </oc>
    <nc r="F110"/>
  </rcc>
  <rcc rId="2442" sId="3">
    <oc r="G110">
      <f>0.076506*1000</f>
    </oc>
    <nc r="G110"/>
  </rcc>
  <rcc rId="2443" sId="3">
    <oc r="A111">
      <v>105</v>
    </oc>
    <nc r="A111"/>
  </rcc>
  <rcc rId="2444" sId="3">
    <oc r="B111" t="inlineStr">
      <is>
        <t>Замена дверей в ТП-604 (ТМ-1, ТМ-2)</t>
      </is>
    </oc>
    <nc r="B111"/>
  </rcc>
  <rcc rId="2445" sId="3">
    <oc r="C111" t="inlineStr">
      <is>
        <t xml:space="preserve">Счет-фактура №746 </t>
      </is>
    </oc>
    <nc r="C111"/>
  </rcc>
  <rcc rId="2446" sId="3">
    <oc r="D111">
      <v>6</v>
    </oc>
    <nc r="D111"/>
  </rcc>
  <rcc rId="2447" sId="3">
    <oc r="F111" t="inlineStr">
      <is>
        <t>5-288/15 от 30.12.2016</t>
      </is>
    </oc>
    <nc r="F111"/>
  </rcc>
  <rcc rId="2448" sId="3">
    <oc r="G111">
      <f>0.165896*1000</f>
    </oc>
    <nc r="G111"/>
  </rcc>
  <rcc rId="2449" sId="3">
    <oc r="A112">
      <v>106</v>
    </oc>
    <nc r="A112"/>
  </rcc>
  <rcc rId="2450" sId="3">
    <oc r="B112" t="inlineStr">
      <is>
        <t>Капитальный ремонт (замена) дверей в РУ-0,4 кВ, РУ-6 кВ (1,5х2,4-2шт) камере ТМ-1 (2,3х2,3) ТП-607</t>
      </is>
    </oc>
    <nc r="B112"/>
  </rcc>
  <rcc rId="2451" sId="3">
    <oc r="C112" t="inlineStr">
      <is>
        <t xml:space="preserve">Счет-фактура №747 </t>
      </is>
    </oc>
    <nc r="C112"/>
  </rcc>
  <rcc rId="2452" sId="3">
    <oc r="D112">
      <v>6</v>
    </oc>
    <nc r="D112"/>
  </rcc>
  <rcc rId="2453" sId="3">
    <oc r="F112" t="inlineStr">
      <is>
        <t>5-263/15 от 30.12.2016</t>
      </is>
    </oc>
    <nc r="F112"/>
  </rcc>
  <rcc rId="2454" sId="3">
    <oc r="G112">
      <f>0.20014*1000</f>
    </oc>
    <nc r="G112"/>
  </rcc>
  <rcc rId="2455" sId="3">
    <oc r="A113">
      <v>107</v>
    </oc>
    <nc r="A113"/>
  </rcc>
  <rcc rId="2456" sId="3">
    <oc r="B113" t="inlineStr">
      <is>
        <t>Капитальный ремонт (замена) дверей в РУ-6 кВ (1,5х3,3), РУ-0,4 кВ (1,0х2,5) ТП-613</t>
      </is>
    </oc>
    <nc r="B113"/>
  </rcc>
  <rcc rId="2457" sId="3">
    <oc r="C113" t="inlineStr">
      <is>
        <t>Счет-фактура №748</t>
      </is>
    </oc>
    <nc r="C113"/>
  </rcc>
  <rcc rId="2458" sId="3">
    <oc r="D113">
      <v>6</v>
    </oc>
    <nc r="D113"/>
  </rcc>
  <rcc rId="2459" sId="3">
    <oc r="F113" t="inlineStr">
      <is>
        <t>5-262/15 от 30.12.2016</t>
      </is>
    </oc>
    <nc r="F113"/>
  </rcc>
  <rcc rId="2460" sId="3">
    <oc r="G113">
      <f>0.128179*1000</f>
    </oc>
    <nc r="G113"/>
  </rcc>
  <rcc rId="2461" sId="3">
    <oc r="A114">
      <v>108</v>
    </oc>
    <nc r="A114"/>
  </rcc>
  <rcc rId="2462" sId="3">
    <oc r="B114" t="inlineStr">
      <is>
        <t>Капитальный ремонт (замена) дверей в РУ-0,4 кВ (1,0х2,4), РУ-6 кВ (1,5х3,2) ТП-614</t>
      </is>
    </oc>
    <nc r="B114"/>
  </rcc>
  <rcc rId="2463" sId="3">
    <oc r="C114" t="inlineStr">
      <is>
        <t xml:space="preserve">Счет-фактура №749 </t>
      </is>
    </oc>
    <nc r="C114"/>
  </rcc>
  <rcc rId="2464" sId="3">
    <oc r="D114">
      <v>6</v>
    </oc>
    <nc r="D114"/>
  </rcc>
  <rcc rId="2465" sId="3">
    <oc r="F114" t="inlineStr">
      <is>
        <t>5-271/15 от 30.12.2016</t>
      </is>
    </oc>
    <nc r="F114"/>
  </rcc>
  <rcc rId="2466" sId="3">
    <oc r="G114">
      <f>0.126298*1000</f>
    </oc>
    <nc r="G114"/>
  </rcc>
  <rcc rId="2467" sId="3">
    <oc r="A115">
      <v>109</v>
    </oc>
    <nc r="A115"/>
  </rcc>
  <rcc rId="2468" sId="3">
    <oc r="B115" t="inlineStr">
      <is>
        <t>Капитальный ремонт (замена) дверей РУ-6 кВ, РУ-0,4 кВ (1,8х2,5-2шт) ТП-615)</t>
      </is>
    </oc>
    <nc r="B115"/>
  </rcc>
  <rcc rId="2469" sId="3">
    <oc r="C115" t="inlineStr">
      <is>
        <t xml:space="preserve">Счет-фактура №750 </t>
      </is>
    </oc>
    <nc r="C115"/>
  </rcc>
  <rcc rId="2470" sId="3">
    <oc r="D115">
      <v>6</v>
    </oc>
    <nc r="D115"/>
  </rcc>
  <rcc rId="2471" sId="3">
    <oc r="F115" t="inlineStr">
      <is>
        <t>5-276/15 от 30.12.2016</t>
      </is>
    </oc>
    <nc r="F115"/>
  </rcc>
  <rcc rId="2472" sId="3">
    <oc r="G115">
      <f>0.136711*1000</f>
    </oc>
    <nc r="G115"/>
  </rcc>
  <rcc rId="2473" sId="3">
    <oc r="A116">
      <v>110</v>
    </oc>
    <nc r="A116"/>
  </rcc>
  <rcc rId="2474" sId="3">
    <oc r="B116" t="inlineStr">
      <is>
        <t>Капитальный ремонт (замена) дверей в РУ-0,4 кВ (1,5х2,4) ТП-619</t>
      </is>
    </oc>
    <nc r="B116"/>
  </rcc>
  <rcc rId="2475" sId="3">
    <oc r="C116" t="inlineStr">
      <is>
        <t xml:space="preserve">Счет-фактура №751 </t>
      </is>
    </oc>
    <nc r="C116"/>
  </rcc>
  <rcc rId="2476" sId="3">
    <oc r="D116">
      <v>6</v>
    </oc>
    <nc r="D116"/>
  </rcc>
  <rcc rId="2477" sId="3">
    <oc r="F116" t="inlineStr">
      <is>
        <t>5-161/15 от 30.12.2016</t>
      </is>
    </oc>
    <nc r="F116"/>
  </rcc>
  <rcc rId="2478" sId="3">
    <oc r="G116">
      <f>0.058144*1000</f>
    </oc>
    <nc r="G116"/>
  </rcc>
  <rcc rId="2479" sId="3">
    <oc r="A117">
      <v>111</v>
    </oc>
    <nc r="A117"/>
  </rcc>
  <rcc rId="2480" sId="3">
    <oc r="B117" t="inlineStr">
      <is>
        <t>Капитальный ремонт (замена) дверей в РУ-6 кВ, РУ-0,4 кВ (1,5х2,4-2шт) ТП-623</t>
      </is>
    </oc>
    <nc r="B117"/>
  </rcc>
  <rcc rId="2481" sId="3">
    <oc r="C117" t="inlineStr">
      <is>
        <t xml:space="preserve">Счет-фактура №753 </t>
      </is>
    </oc>
    <nc r="C117"/>
  </rcc>
  <rcc rId="2482" sId="3">
    <oc r="D117">
      <v>6</v>
    </oc>
    <nc r="D117"/>
  </rcc>
  <rcc rId="2483" sId="3">
    <oc r="F117" t="inlineStr">
      <is>
        <t>5-267/15 от 30.12.2016</t>
      </is>
    </oc>
    <nc r="F117"/>
  </rcc>
  <rcc rId="2484" sId="3">
    <oc r="G117">
      <f>0.116134*1000</f>
    </oc>
    <nc r="G117"/>
  </rcc>
  <rcc rId="2485" sId="3">
    <oc r="A118">
      <v>112</v>
    </oc>
    <nc r="A118"/>
  </rcc>
  <rcc rId="2486" sId="3">
    <oc r="B118" t="inlineStr">
      <is>
        <t>Капитальный ремонт (замена) дверей в РУ-0,4 кВ (1,5х2,4) ТП-624</t>
      </is>
    </oc>
    <nc r="B118"/>
  </rcc>
  <rcc rId="2487" sId="3">
    <oc r="C118" t="inlineStr">
      <is>
        <t>Счет-фактура №754</t>
      </is>
    </oc>
    <nc r="C118"/>
  </rcc>
  <rcc rId="2488" sId="3">
    <oc r="D118">
      <v>6</v>
    </oc>
    <nc r="D118"/>
  </rcc>
  <rcc rId="2489" sId="3">
    <oc r="F118" t="inlineStr">
      <is>
        <t>5-265/15 от 30.12.2016</t>
      </is>
    </oc>
    <nc r="F118"/>
  </rcc>
  <rcc rId="2490" sId="3">
    <oc r="G118">
      <f>0.058071*1000</f>
    </oc>
    <nc r="G118"/>
  </rcc>
  <rcc rId="2491" sId="3">
    <oc r="A119">
      <v>113</v>
    </oc>
    <nc r="A119"/>
  </rcc>
  <rcc rId="2492" sId="3">
    <oc r="B119" t="inlineStr">
      <is>
        <t>Капитальный ремонт (замена) дверей в РУ-0,4 кВ (1,5х2,4), ТМ-1,2 (2,3х2,3-2шт) ТП-626</t>
      </is>
    </oc>
    <nc r="B119"/>
  </rcc>
  <rcc rId="2493" sId="3">
    <oc r="C119" t="inlineStr">
      <is>
        <t xml:space="preserve">Счет-фактура №755 </t>
      </is>
    </oc>
    <nc r="C119"/>
  </rcc>
  <rcc rId="2494" sId="3">
    <oc r="D119">
      <v>6</v>
    </oc>
    <nc r="D119"/>
  </rcc>
  <rcc rId="2495" sId="3">
    <oc r="F119" t="inlineStr">
      <is>
        <t>5-264/15 от 30.12.2016</t>
      </is>
    </oc>
    <nc r="F119"/>
  </rcc>
  <rcc rId="2496" sId="3">
    <oc r="G119">
      <f>0.227351*1000</f>
    </oc>
    <nc r="G119"/>
  </rcc>
  <rcc rId="2497" sId="3">
    <oc r="A120">
      <v>114</v>
    </oc>
    <nc r="A120"/>
  </rcc>
  <rcc rId="2498" sId="3">
    <oc r="B120" t="inlineStr">
      <is>
        <t>Капитальный ремонт (замена) кровли ТП-628 ул. Франкфурта, 16 корпус 3</t>
      </is>
    </oc>
    <nc r="B120"/>
  </rcc>
  <rcc rId="2499" sId="3">
    <oc r="C120" t="inlineStr">
      <is>
        <t>Счет-фактура №756</t>
      </is>
    </oc>
    <nc r="C120"/>
  </rcc>
  <rcc rId="2500" sId="3">
    <oc r="D120">
      <v>8</v>
    </oc>
    <nc r="D120"/>
  </rcc>
  <rcc rId="2501" sId="3">
    <oc r="F120" t="inlineStr">
      <is>
        <t>5-62/16 от 30.12.2016</t>
      </is>
    </oc>
    <nc r="F120"/>
  </rcc>
  <rcc rId="2502" sId="3">
    <oc r="G120">
      <f>0.258629*1000</f>
    </oc>
    <nc r="G120"/>
  </rcc>
  <rcc rId="2503" sId="3">
    <oc r="A121">
      <v>115</v>
    </oc>
    <nc r="A121"/>
  </rcc>
  <rcc rId="2504" sId="3">
    <oc r="B121" t="inlineStr">
      <is>
        <t>Замена дверей в ТП-641 (РУ-0,4 кВ, РУ-6 кВ, ТМ-1, ТМ-2)</t>
      </is>
    </oc>
    <nc r="B121"/>
  </rcc>
  <rcc rId="2505" sId="3">
    <oc r="C121" t="inlineStr">
      <is>
        <t>Счет-фактура №757</t>
      </is>
    </oc>
    <nc r="C121"/>
  </rcc>
  <rcc rId="2506" sId="3">
    <oc r="D121">
      <v>6</v>
    </oc>
    <nc r="D121"/>
  </rcc>
  <rcc rId="2507" sId="3">
    <oc r="F121" t="inlineStr">
      <is>
        <t>5-286/15 от 30.12.2016</t>
      </is>
    </oc>
    <nc r="F121"/>
  </rcc>
  <rcc rId="2508" sId="3">
    <oc r="G121">
      <f>0.270595*1000</f>
    </oc>
    <nc r="G121"/>
  </rcc>
  <rcc rId="2509" sId="3">
    <oc r="A122">
      <v>116</v>
    </oc>
    <nc r="A122"/>
  </rcc>
  <rcc rId="2510" sId="3">
    <oc r="B122" t="inlineStr">
      <is>
        <t>Капитальный ремонт. Замена ВР-0,4кВ в ТП вКО ЭСР. г.Новокузнецк (ТП-300, 301, 306, 310, 325, 326, 332, 333, 336, 345, 348, 353, 355, 356, 361, 363, 365, 366, 367, 372, 374, 385, 387, 388, 390, 900, 902)</t>
      </is>
    </oc>
    <nc r="B122"/>
  </rcc>
  <rcc rId="2511" sId="3">
    <oc r="C122" t="inlineStr">
      <is>
        <t xml:space="preserve">Счет-фактура №489 </t>
      </is>
    </oc>
    <nc r="C122"/>
  </rcc>
  <rcc rId="2512" sId="3">
    <oc r="D122">
      <v>6</v>
    </oc>
    <nc r="D122"/>
  </rcc>
  <rcc rId="2513" sId="3">
    <oc r="F122" t="inlineStr">
      <is>
        <t>5-35э/16 от 30.11.2016</t>
      </is>
    </oc>
    <nc r="F122"/>
  </rcc>
  <rcc rId="2514" sId="3">
    <oc r="G122">
      <f>1.6822*1000</f>
    </oc>
    <nc r="G122"/>
  </rcc>
  <rcc rId="2515" sId="3">
    <oc r="A123">
      <v>117</v>
    </oc>
    <nc r="A123"/>
  </rcc>
  <rcc rId="2516" sId="3">
    <oc r="B123" t="inlineStr">
      <is>
        <t>Капитальный ремонт. Замена МСР-0,4кВ в ТП в КО ЭСР. г.Новокузнецк  (ТП-300, 301,302, 310, 315, 322, 323, 325, 326, 333, 334, 335, 338, 341, 343, 344, 345, 348, 354, 367, 373, 383, 387, 388, 390, 900, 901, 902, 903, 904, 905, 906, 907, 908, 909, 910, 912, 913, 914, 915, 916, 917)</t>
      </is>
    </oc>
    <nc r="B123"/>
  </rcc>
  <rcc rId="2517" sId="3">
    <oc r="C123" t="inlineStr">
      <is>
        <t>Счет-фактура №434</t>
      </is>
    </oc>
    <nc r="C123"/>
  </rcc>
  <rcc rId="2518" sId="3">
    <oc r="D123">
      <v>5</v>
    </oc>
    <nc r="D123"/>
  </rcc>
  <rcc rId="2519" sId="3">
    <oc r="F123" t="inlineStr">
      <is>
        <t>5-36э/16 от 31.10.2016</t>
      </is>
    </oc>
    <nc r="F123"/>
  </rcc>
  <rcc rId="2520" sId="3">
    <oc r="G123">
      <f>0.548403*1000</f>
    </oc>
    <nc r="G123"/>
  </rcc>
  <rcc rId="2521" sId="3">
    <oc r="A124">
      <v>118</v>
    </oc>
    <nc r="A124"/>
  </rcc>
  <rcc rId="2522" sId="3">
    <oc r="B124" t="inlineStr">
      <is>
        <t>Капитальный ремонт. Замена ВР-0,4кВ в ТП в ЗН ЭСР г.Новокузнецк (ТП-413, 414, 426, 472, 479, 490, 493, 498)</t>
      </is>
    </oc>
    <nc r="B124"/>
  </rcc>
  <rcc rId="2523" sId="3">
    <oc r="C124" t="inlineStr">
      <is>
        <t xml:space="preserve">Счет-фактура №594 </t>
      </is>
    </oc>
    <nc r="C124"/>
  </rcc>
  <rcc rId="2524" sId="3">
    <oc r="D124">
      <v>6</v>
    </oc>
    <nc r="D124"/>
  </rcc>
  <rcc rId="2525" sId="3">
    <oc r="F124" t="inlineStr">
      <is>
        <t>3-34э/16 от 30.11.2016</t>
      </is>
    </oc>
    <nc r="F124"/>
  </rcc>
  <rcc rId="2526" sId="3">
    <oc r="G124">
      <f>0.692874*1000</f>
    </oc>
    <nc r="G124"/>
  </rcc>
  <rcc rId="2527" sId="3">
    <oc r="A125">
      <v>119</v>
    </oc>
    <nc r="A125"/>
  </rcc>
  <rcc rId="2528" sId="3">
    <oc r="B125" t="inlineStr">
      <is>
        <t>Капитальный ремонт. Замена ВР-0,4кВ в ТП в ЦК ЭСР. г. Новокузнецк (ТП-6, 63, 101, 106, 150, 164, 187, 189, 211, 228, 253, 254, 261, 285, 295, 603, 633, 640, 668, 674)</t>
      </is>
    </oc>
    <nc r="B125"/>
  </rcc>
  <rcc rId="2529" sId="3">
    <oc r="C125" t="inlineStr">
      <is>
        <t xml:space="preserve">Счет-фактура №758 </t>
      </is>
    </oc>
    <nc r="C125"/>
  </rcc>
  <rcc rId="2530" sId="3">
    <oc r="D125">
      <v>5</v>
    </oc>
    <nc r="D125"/>
  </rcc>
  <rcc rId="2531" sId="3">
    <oc r="F125" t="inlineStr">
      <is>
        <t>5-37э/16 от 30.12.2016</t>
      </is>
    </oc>
    <nc r="F125"/>
  </rcc>
  <rcc rId="2532" sId="3">
    <oc r="G125">
      <f>1.289745*1000</f>
    </oc>
    <nc r="G125"/>
  </rcc>
  <rcc rId="2533" sId="3">
    <oc r="A126">
      <v>120</v>
    </oc>
    <nc r="A126"/>
  </rcc>
  <rcc rId="2534" sId="3">
    <oc r="B126" t="inlineStr">
      <is>
        <t>Капитальный ремонт. Замена МСР-0,4кВ в ТП в ЦК ЭСР. г.Новокузнецк (ТП-6, 215, 259, 278, 284, 285, 604 )</t>
      </is>
    </oc>
    <nc r="B126"/>
  </rcc>
  <rcc rId="2535" sId="3">
    <oc r="C126" t="inlineStr">
      <is>
        <t xml:space="preserve">Счет-фактура №487 </t>
      </is>
    </oc>
    <nc r="C126"/>
  </rcc>
  <rcc rId="2536" sId="3">
    <oc r="D126">
      <v>5</v>
    </oc>
    <nc r="D126"/>
  </rcc>
  <rcc rId="2537" sId="3">
    <oc r="F126" t="inlineStr">
      <is>
        <t>5-38э/16 от 31.10.2016</t>
      </is>
    </oc>
    <nc r="F126"/>
  </rcc>
  <rcc rId="2538" sId="3">
    <oc r="G126">
      <f>0.13937*1000</f>
    </oc>
    <nc r="G126"/>
  </rcc>
  <rcc rId="2539" sId="3">
    <oc r="A127">
      <v>121</v>
    </oc>
    <nc r="A127"/>
  </rcc>
  <rcc rId="2540" sId="3">
    <oc r="B127" t="inlineStr">
      <is>
        <t>Капитальный ремонт КЛ-6кВ ф.9-667 (ЦРП-1 - ТП-667) Центральный район г. Новокузнецк</t>
      </is>
    </oc>
    <nc r="B127"/>
  </rcc>
  <rcc rId="2541" sId="3">
    <oc r="C127" t="inlineStr">
      <is>
        <t xml:space="preserve">Счет-фактура №525 </t>
      </is>
    </oc>
    <nc r="C127"/>
  </rcc>
  <rcc rId="2542" sId="3">
    <oc r="D127">
      <v>7</v>
    </oc>
    <nc r="D127"/>
  </rcc>
  <rcc rId="2543" sId="3">
    <oc r="F127" t="inlineStr">
      <is>
        <t>5-7э/16 от 30.11.2016</t>
      </is>
    </oc>
    <nc r="F127"/>
  </rcc>
  <rcc rId="2544" sId="3">
    <oc r="G127">
      <f>0.709127*1000</f>
    </oc>
    <nc r="G127"/>
  </rcc>
  <rcc rId="2545" sId="3">
    <oc r="A128">
      <v>122</v>
    </oc>
    <nc r="A128"/>
  </rcc>
  <rcc rId="2546" sId="3">
    <oc r="B128" t="inlineStr">
      <is>
        <t>Капитальный ремонт КЛ-6кВ от ПС №5 "Новая" до ТТП-10, Центральный район г. Новокузнецк</t>
      </is>
    </oc>
    <nc r="B128"/>
  </rcc>
  <rcc rId="2547" sId="3">
    <oc r="C128" t="inlineStr">
      <is>
        <t xml:space="preserve">Счет-фактура №759 </t>
      </is>
    </oc>
    <nc r="C128"/>
  </rcc>
  <rcc rId="2548" sId="3">
    <oc r="D128">
      <v>8</v>
    </oc>
    <nc r="D128"/>
  </rcc>
  <rcc rId="2549" sId="3">
    <oc r="F128" t="inlineStr">
      <is>
        <t>5-44э/16 от 30.12.2016</t>
      </is>
    </oc>
    <nc r="F128"/>
  </rcc>
  <rcc rId="2550" sId="3">
    <oc r="G128">
      <f>4.406662*1000</f>
    </oc>
    <nc r="G128"/>
  </rcc>
  <rcc rId="2551" sId="3">
    <oc r="A129">
      <v>123</v>
    </oc>
    <nc r="A129"/>
  </rcc>
  <rcc rId="2552" sId="3">
    <oc r="B129" t="inlineStr">
      <is>
        <t>Капитальный ремонт КЛ-10кВ ПС-2 - ТП-425, ПС-2 - ЦПР-3, Заводской район г. Новокузнецк</t>
      </is>
    </oc>
    <nc r="B129"/>
  </rcc>
  <rcc rId="2553" sId="3">
    <oc r="C129" t="inlineStr">
      <is>
        <t xml:space="preserve">Счет-фактура №760 </t>
      </is>
    </oc>
    <nc r="C129"/>
  </rcc>
  <rcc rId="2554" sId="3">
    <oc r="D129">
      <v>8</v>
    </oc>
    <nc r="D129"/>
  </rcc>
  <rcc rId="2555" sId="3">
    <oc r="F129" t="inlineStr">
      <is>
        <t>3-9э/16 от 30.12.2016</t>
      </is>
    </oc>
    <nc r="F129"/>
  </rcc>
  <rcc rId="2556" sId="3">
    <oc r="G129">
      <f>1.884347*1000</f>
    </oc>
    <nc r="G129"/>
  </rcc>
  <rcc rId="2557" sId="3">
    <oc r="A130">
      <v>124</v>
    </oc>
    <nc r="A130"/>
  </rcc>
  <rcc rId="2558" sId="3">
    <oc r="B130" t="inlineStr">
      <is>
        <t>Капитальный ремонт ВЛ-10кВ ф.19 - РП-1-1, ф.14 - РП-1-1-2 в Кузнецком районе г. Новокузнецк</t>
      </is>
    </oc>
    <nc r="B130"/>
  </rcc>
  <rcc rId="2559" sId="3">
    <oc r="C130" t="inlineStr">
      <is>
        <t xml:space="preserve">Счет-фактура №542 </t>
      </is>
    </oc>
    <nc r="C130"/>
  </rcc>
  <rcc rId="2560" sId="3">
    <oc r="D130">
      <v>10</v>
    </oc>
    <nc r="D130"/>
  </rcc>
  <rcc rId="2561" sId="3">
    <oc r="F130" t="inlineStr">
      <is>
        <t>5-33э/16 от 30.11.2016</t>
      </is>
    </oc>
    <nc r="F130"/>
  </rcc>
  <rcc rId="2562" sId="3">
    <oc r="G130">
      <f>0.665743*1000</f>
    </oc>
    <nc r="G130"/>
  </rcc>
  <rcc rId="2563" sId="3">
    <oc r="A131">
      <v>125</v>
    </oc>
    <nc r="A131"/>
  </rcc>
  <rcc rId="2564" sId="3">
    <oc r="B131" t="inlineStr">
      <is>
        <t>Ремонт маслоприемников силовых трансформаторов (4 шт) ПС №1 "Центральная"</t>
      </is>
    </oc>
    <nc r="B131"/>
  </rcc>
  <rcc rId="2565" sId="3">
    <oc r="C131" t="inlineStr">
      <is>
        <t xml:space="preserve">Счет-фактура №761 </t>
      </is>
    </oc>
    <nc r="C131"/>
  </rcc>
  <rcc rId="2566" sId="3">
    <oc r="D131">
      <v>4</v>
    </oc>
    <nc r="D131"/>
  </rcc>
  <rcc rId="2567" sId="3">
    <oc r="F131" t="inlineStr">
      <is>
        <t>5-305/15 от 30.12.2016</t>
      </is>
    </oc>
    <nc r="F131"/>
  </rcc>
  <rcc rId="2568" sId="3">
    <oc r="G131">
      <f>0.264425*1000</f>
    </oc>
    <nc r="G131"/>
  </rcc>
  <rcc rId="2569" sId="3">
    <oc r="A132">
      <v>126</v>
    </oc>
    <nc r="A132"/>
  </rcc>
  <rcc rId="2570" sId="3">
    <oc r="B132" t="inlineStr">
      <is>
        <t>Ремонт маслоприемников силовых трансформаторов (2 шт) ПС №2 "Н. Островского"</t>
      </is>
    </oc>
    <nc r="B132"/>
  </rcc>
  <rcc rId="2571" sId="3">
    <oc r="C132" t="inlineStr">
      <is>
        <t>Счет-фактура №762</t>
      </is>
    </oc>
    <nc r="C132"/>
  </rcc>
  <rcc rId="2572" sId="3">
    <oc r="D132">
      <v>4</v>
    </oc>
    <nc r="D132"/>
  </rcc>
  <rcc rId="2573" sId="3">
    <oc r="F132" t="inlineStr">
      <is>
        <t>5-306/15 от 30.12.2016</t>
      </is>
    </oc>
    <nc r="F132"/>
  </rcc>
  <rcc rId="2574" sId="3">
    <oc r="G132">
      <f>0.132212*1000</f>
    </oc>
    <nc r="G132"/>
  </rcc>
  <rcc rId="2575" sId="3">
    <oc r="A133">
      <v>127</v>
    </oc>
    <nc r="A133"/>
  </rcc>
  <rcc rId="2576" sId="3">
    <oc r="B133" t="inlineStr">
      <is>
        <t>Ремонт маслоприемников силовых трансформаторов ПС №3 "Южная"</t>
      </is>
    </oc>
    <nc r="B133"/>
  </rcc>
  <rcc rId="2577" sId="3">
    <oc r="C133" t="inlineStr">
      <is>
        <t xml:space="preserve">Счет-фактура №763 </t>
      </is>
    </oc>
    <nc r="C133"/>
  </rcc>
  <rcc rId="2578" sId="3">
    <oc r="D133">
      <v>5</v>
    </oc>
    <nc r="D133"/>
  </rcc>
  <rcc rId="2579" sId="3">
    <oc r="F133" t="inlineStr">
      <is>
        <t>5-303/15 от 30.12.2016</t>
      </is>
    </oc>
    <nc r="F133"/>
  </rcc>
  <rcc rId="2580" sId="3">
    <oc r="G133">
      <f>0.187342*1000</f>
    </oc>
    <nc r="G133"/>
  </rcc>
  <rcc rId="2581" sId="3">
    <oc r="A134">
      <v>128</v>
    </oc>
    <nc r="A134"/>
  </rcc>
  <rcc rId="2582" sId="3">
    <oc r="B134" t="inlineStr">
      <is>
        <t>Ремонт маслоприемников силовых трансформаторов (2 шт) ПС №5 "Новая"</t>
      </is>
    </oc>
    <nc r="B134"/>
  </rcc>
  <rcc rId="2583" sId="3">
    <oc r="C134" t="inlineStr">
      <is>
        <t xml:space="preserve">Счет-фактура №764 </t>
      </is>
    </oc>
    <nc r="C134"/>
  </rcc>
  <rcc rId="2584" sId="3">
    <oc r="D134">
      <v>4</v>
    </oc>
    <nc r="D134"/>
  </rcc>
  <rcc rId="2585" sId="3">
    <oc r="F134" t="inlineStr">
      <is>
        <t>5-308/15 от 30.12.2016</t>
      </is>
    </oc>
    <nc r="F134"/>
  </rcc>
  <rcc rId="2586" sId="3">
    <oc r="G134">
      <f>0.151151*1000</f>
    </oc>
    <nc r="G134"/>
  </rcc>
  <rcc rId="2587" sId="3">
    <oc r="A135">
      <v>129</v>
    </oc>
    <nc r="A135"/>
  </rcc>
  <rcc rId="2588" sId="3">
    <oc r="B135" t="inlineStr">
      <is>
        <t>Ремонт маслоприемников силовых трансформаторов (2 шт) ПС №6 "В. Островская"</t>
      </is>
    </oc>
    <nc r="B135"/>
  </rcc>
  <rcc rId="2589" sId="3">
    <oc r="C135" t="inlineStr">
      <is>
        <t xml:space="preserve">Счет-фактура №765 </t>
      </is>
    </oc>
    <nc r="C135"/>
  </rcc>
  <rcc rId="2590" sId="3">
    <oc r="D135">
      <v>4</v>
    </oc>
    <nc r="D135"/>
  </rcc>
  <rcc rId="2591" sId="3">
    <oc r="F135" t="inlineStr">
      <is>
        <t>5-307/15 от 30.12.2016</t>
      </is>
    </oc>
    <nc r="F135"/>
  </rcc>
  <rcc rId="2592" sId="3">
    <oc r="G135">
      <f>0.132212*1000</f>
    </oc>
    <nc r="G135"/>
  </rcc>
  <rcc rId="2593" sId="3">
    <oc r="A136">
      <v>130</v>
    </oc>
    <nc r="A136"/>
  </rcc>
  <rcc rId="2594" sId="3">
    <oc r="B136" t="inlineStr">
      <is>
        <t>Капитальный ремонт кровли ЦРП-1 ул. Хитарова, 12</t>
      </is>
    </oc>
    <nc r="B136"/>
  </rcc>
  <rcc rId="2595" sId="3">
    <oc r="C136" t="inlineStr">
      <is>
        <t>Счет-фактура №766</t>
      </is>
    </oc>
    <nc r="C136"/>
  </rcc>
  <rcc rId="2596" sId="3">
    <oc r="D136">
      <v>9</v>
    </oc>
    <nc r="D136"/>
  </rcc>
  <rcc rId="2597" sId="3">
    <oc r="F136" t="inlineStr">
      <is>
        <t>5-33/16 от 30.12.2016</t>
      </is>
    </oc>
    <nc r="F136"/>
  </rcc>
  <rcc rId="2598" sId="3">
    <oc r="G136">
      <f>1.26836*1000</f>
    </oc>
    <nc r="G136"/>
  </rcc>
  <rcc rId="2599" sId="3">
    <oc r="A137">
      <v>131</v>
    </oc>
    <nc r="A137"/>
  </rcc>
  <rcc rId="2600" sId="3">
    <oc r="B137" t="inlineStr">
      <is>
        <t>Восстановление ж/бетонного пола в РП-1</t>
      </is>
    </oc>
    <nc r="B137"/>
  </rcc>
  <rcc rId="2601" sId="3">
    <oc r="C137" t="inlineStr">
      <is>
        <t xml:space="preserve">Счет-фактура №491 </t>
      </is>
    </oc>
    <nc r="C137"/>
  </rcc>
  <rcc rId="2602" sId="3">
    <oc r="D137">
      <v>5</v>
    </oc>
    <nc r="D137"/>
  </rcc>
  <rcc rId="2603" sId="3">
    <oc r="F137" t="inlineStr">
      <is>
        <t>5-54/16 от 31.10.2016</t>
      </is>
    </oc>
    <nc r="F137"/>
  </rcc>
  <rcc rId="2604" sId="3">
    <oc r="G137">
      <f>0.033197*1000</f>
    </oc>
    <nc r="G137"/>
  </rcc>
  <rcc rId="2605" sId="3">
    <oc r="A138">
      <v>132</v>
    </oc>
    <nc r="A138"/>
  </rcc>
  <rcc rId="2606" sId="3">
    <oc r="B138" t="inlineStr">
      <is>
        <t>Восстановление элементов благоустройства на эл. сетях Центрального и Куйбышевского районов</t>
      </is>
    </oc>
    <nc r="B138"/>
  </rcc>
  <rcc rId="2607" sId="3">
    <oc r="C138" t="inlineStr">
      <is>
        <t xml:space="preserve">Счет-фактура №431 </t>
      </is>
    </oc>
    <nc r="C138"/>
  </rcc>
  <rcc rId="2608" sId="3">
    <oc r="D138">
      <v>6</v>
    </oc>
    <nc r="D138"/>
  </rcc>
  <rcc rId="2609" sId="3">
    <oc r="F138" t="inlineStr">
      <is>
        <t>5-53/16 от 31.10.2016</t>
      </is>
    </oc>
    <nc r="F138"/>
  </rcc>
  <rcc rId="2610" sId="3">
    <oc r="G138">
      <f>2.414031*1000</f>
    </oc>
    <nc r="G138"/>
  </rcc>
  <rcc rId="2611" sId="3">
    <oc r="A139">
      <v>133</v>
    </oc>
    <nc r="A139"/>
  </rcc>
  <rcc rId="2612" sId="3">
    <oc r="B139" t="inlineStr">
      <is>
        <t>Восстановление элементов благоустройства на эл. сетях Заводского и Новоильинского районов</t>
      </is>
    </oc>
    <nc r="B139"/>
  </rcc>
  <rcc rId="2613" sId="3">
    <oc r="C139" t="inlineStr">
      <is>
        <t>Счет-фактура №432</t>
      </is>
    </oc>
    <nc r="C139"/>
  </rcc>
  <rcc rId="2614" sId="3">
    <oc r="D139">
      <v>6</v>
    </oc>
    <nc r="D139"/>
  </rcc>
  <rcc rId="2615" sId="3">
    <oc r="F139" t="inlineStr">
      <is>
        <t>3-52/16 от 31.10.2016</t>
      </is>
    </oc>
    <nc r="F139"/>
  </rcc>
  <rcc rId="2616" sId="3">
    <oc r="G139">
      <f>1.208691*1000</f>
    </oc>
    <nc r="G139"/>
  </rcc>
  <rcc rId="2617" sId="3">
    <oc r="A140">
      <v>134</v>
    </oc>
    <nc r="A140"/>
  </rcc>
  <rcc rId="2618" sId="3">
    <oc r="B140" t="inlineStr">
      <is>
        <t>Восстановление элементов благоустройства на эл. Сетях Кузнецкого и Орджоникидзевского районов</t>
      </is>
    </oc>
    <nc r="B140"/>
  </rcc>
  <rcc rId="2619" sId="3">
    <oc r="C140" t="inlineStr">
      <is>
        <t>Счет-фактура №433</t>
      </is>
    </oc>
    <nc r="C140"/>
  </rcc>
  <rcc rId="2620" sId="3">
    <oc r="D140">
      <v>5</v>
    </oc>
    <nc r="D140"/>
  </rcc>
  <rcc rId="2621" sId="3">
    <oc r="F140" t="inlineStr">
      <is>
        <t>5-51/16 от 31.140.2016</t>
      </is>
    </oc>
    <nc r="F140"/>
  </rcc>
  <rcc rId="2622" sId="3">
    <oc r="G140">
      <f>0.052741*1000</f>
    </oc>
    <nc r="G140"/>
  </rcc>
  <rcc rId="2623" sId="3">
    <oc r="A141">
      <v>135</v>
    </oc>
    <nc r="A141"/>
  </rcc>
  <rcc rId="2624" sId="3">
    <oc r="B141" t="inlineStr">
      <is>
        <t>Капитальный ремонт фасада ТП-16, ул. Энтузиастов, 3-А</t>
      </is>
    </oc>
    <nc r="B141"/>
  </rcc>
  <rcc rId="2625" sId="3">
    <oc r="C141" t="inlineStr">
      <is>
        <t>Счет-фактура №767</t>
      </is>
    </oc>
    <nc r="C141"/>
  </rcc>
  <rcc rId="2626" sId="3">
    <oc r="D141">
      <v>4</v>
    </oc>
    <nc r="D141"/>
  </rcc>
  <rcc rId="2627" sId="3">
    <oc r="F141" t="inlineStr">
      <is>
        <t>5-248/15 от 30.12.2016</t>
      </is>
    </oc>
    <nc r="F141"/>
  </rcc>
  <rcc rId="2628" sId="3">
    <oc r="G141">
      <f>0.108134*1000</f>
    </oc>
    <nc r="G141"/>
  </rcc>
  <rcc rId="2629" sId="3">
    <oc r="A142">
      <v>136</v>
    </oc>
    <nc r="A142"/>
  </rcc>
  <rcc rId="2630" sId="3">
    <oc r="B142" t="inlineStr">
      <is>
        <t>Капитальный ремонт (замена) кровли ТП-16 ул. Энтузиастов, 3-А</t>
      </is>
    </oc>
    <nc r="B142"/>
  </rcc>
  <rcc rId="2631" sId="3">
    <oc r="C142" t="inlineStr">
      <is>
        <t>Счет-фактура №768</t>
      </is>
    </oc>
    <nc r="C142"/>
  </rcc>
  <rcc rId="2632" sId="3">
    <oc r="D142">
      <v>9</v>
    </oc>
    <nc r="D142"/>
  </rcc>
  <rcc rId="2633" sId="3">
    <oc r="F142" t="inlineStr">
      <is>
        <t>5-70/16 от 30.12.2016</t>
      </is>
    </oc>
    <nc r="F142"/>
  </rcc>
  <rcc rId="2634" sId="3">
    <oc r="G142">
      <f>0.317896*1000</f>
    </oc>
    <nc r="G142"/>
  </rcc>
  <rcc rId="2635" sId="3">
    <oc r="A143">
      <v>137</v>
    </oc>
    <nc r="A143"/>
  </rcc>
  <rcc rId="2636" sId="3">
    <oc r="B143" t="inlineStr">
      <is>
        <t>Ремонт фасада ТП-21 ул. Рудокопровая, 3 корпус 5</t>
      </is>
    </oc>
    <nc r="B143"/>
  </rcc>
  <rcc rId="2637" sId="3">
    <oc r="C143" t="inlineStr">
      <is>
        <t>Счет-фактура №769</t>
      </is>
    </oc>
    <nc r="C143"/>
  </rcc>
  <rcc rId="2638" sId="3">
    <oc r="D143">
      <v>4</v>
    </oc>
    <nc r="D143"/>
  </rcc>
  <rcc rId="2639" sId="3">
    <oc r="F143" t="inlineStr">
      <is>
        <t>5-203/15 от 30.12.2016</t>
      </is>
    </oc>
    <nc r="F143"/>
  </rcc>
  <rcc rId="2640" sId="3">
    <oc r="G143">
      <f>0.077277*1000</f>
    </oc>
    <nc r="G143"/>
  </rcc>
  <rcc rId="2641" sId="3">
    <oc r="A144">
      <v>138</v>
    </oc>
    <nc r="A144"/>
  </rcc>
  <rcc rId="2642" sId="3">
    <oc r="B144" t="inlineStr">
      <is>
        <t>Капитальный ремонт кровли Тп-21 ул. Рудокопровая, 30 корпус 5</t>
      </is>
    </oc>
    <nc r="B144"/>
  </rcc>
  <rcc rId="2643" sId="3">
    <oc r="C144" t="inlineStr">
      <is>
        <t>Счет-фактура №770</t>
      </is>
    </oc>
    <nc r="C144"/>
  </rcc>
  <rcc rId="2644" sId="3">
    <oc r="D144">
      <v>8</v>
    </oc>
    <nc r="D144"/>
  </rcc>
  <rcc rId="2645" sId="3">
    <oc r="F144" t="inlineStr">
      <is>
        <t>5-96/16 от 30.12.2016</t>
      </is>
    </oc>
    <nc r="F144"/>
  </rcc>
  <rcc rId="2646" sId="3">
    <oc r="G144">
      <f>0.233449*1000</f>
    </oc>
    <nc r="G144"/>
  </rcc>
  <rcc rId="2647" sId="3">
    <oc r="A145">
      <v>139</v>
    </oc>
    <nc r="A145"/>
  </rcc>
  <rcc rId="2648" sId="3">
    <oc r="B145" t="inlineStr">
      <is>
        <t>Капитальный ремонт фасада ТП-115 пр. Металлургов, 39-А</t>
      </is>
    </oc>
    <nc r="B145"/>
  </rcc>
  <rcc rId="2649" sId="3">
    <oc r="C145" t="inlineStr">
      <is>
        <t>Счет-фактура №771</t>
      </is>
    </oc>
    <nc r="C145"/>
  </rcc>
  <rcc rId="2650" sId="3">
    <oc r="D145">
      <v>5</v>
    </oc>
    <nc r="D145"/>
  </rcc>
  <rcc rId="2651" sId="3">
    <oc r="F145" t="inlineStr">
      <is>
        <t>5-302/15 от 30.12.2016</t>
      </is>
    </oc>
    <nc r="F145"/>
  </rcc>
  <rcc rId="2652" sId="3">
    <oc r="G145">
      <f>0.169806*1000</f>
    </oc>
    <nc r="G145"/>
  </rcc>
  <rcc rId="2653" sId="3">
    <oc r="A146">
      <v>140</v>
    </oc>
    <nc r="A146"/>
  </rcc>
  <rcc rId="2654" sId="3">
    <oc r="B146" t="inlineStr">
      <is>
        <t>Капитальный ремонт кровли ТП-115 пр-т Металлургов, 39-А</t>
      </is>
    </oc>
    <nc r="B146"/>
  </rcc>
  <rcc rId="2655" sId="3">
    <oc r="C146" t="inlineStr">
      <is>
        <t>Счет-фактура №772</t>
      </is>
    </oc>
    <nc r="C146"/>
  </rcc>
  <rcc rId="2656" sId="3">
    <oc r="D146">
      <v>8</v>
    </oc>
    <nc r="D146"/>
  </rcc>
  <rcc rId="2657" sId="3">
    <oc r="F146" t="inlineStr">
      <is>
        <t>5-87/16 от 30.12.2016</t>
      </is>
    </oc>
    <nc r="F146"/>
  </rcc>
  <rcc rId="2658" sId="3">
    <oc r="G146">
      <f>0.222591*1000</f>
    </oc>
    <nc r="G146"/>
  </rcc>
  <rcc rId="2659" sId="3">
    <oc r="A147">
      <v>141</v>
    </oc>
    <nc r="A147"/>
  </rcc>
  <rcc rId="2660" sId="3">
    <oc r="B147" t="inlineStr">
      <is>
        <t>Капитальный ремонт фасада ТП-179 ул. Покрышкина, 18 корпус 1</t>
      </is>
    </oc>
    <nc r="B147"/>
  </rcc>
  <rcc rId="2661" sId="3">
    <oc r="C147" t="inlineStr">
      <is>
        <t>Счет-фактура №773</t>
      </is>
    </oc>
    <nc r="C147"/>
  </rcc>
  <rcc rId="2662" sId="3">
    <oc r="D147">
      <v>5</v>
    </oc>
    <nc r="D147"/>
  </rcc>
  <rcc rId="2663" sId="3">
    <oc r="F147" t="inlineStr">
      <is>
        <t>5-301/15 от 30.12.2016</t>
      </is>
    </oc>
    <nc r="F147"/>
  </rcc>
  <rcc rId="2664" sId="3">
    <oc r="G147">
      <f>0.119695*1000</f>
    </oc>
    <nc r="G147"/>
  </rcc>
  <rcc rId="2665" sId="3">
    <oc r="A148">
      <v>142</v>
    </oc>
    <nc r="A148"/>
  </rcc>
  <rcc rId="2666" sId="3">
    <oc r="B148" t="inlineStr">
      <is>
        <t>Капитальный ремонт кровли ТП-179 ул. Покрышкина, 18 корпус 1</t>
      </is>
    </oc>
    <nc r="B148"/>
  </rcc>
  <rcc rId="2667" sId="3">
    <oc r="C148" t="inlineStr">
      <is>
        <t>Счет-фактура №775</t>
      </is>
    </oc>
    <nc r="C148"/>
  </rcc>
  <rcc rId="2668" sId="3">
    <oc r="D148">
      <v>9</v>
    </oc>
    <nc r="D148"/>
  </rcc>
  <rcc rId="2669" sId="3">
    <oc r="F148" t="inlineStr">
      <is>
        <t>5-88/16 от 30.12.2016</t>
      </is>
    </oc>
    <nc r="F148"/>
  </rcc>
  <rcc rId="2670" sId="3">
    <oc r="G148">
      <f>0.194692*1000</f>
    </oc>
    <nc r="G148"/>
  </rcc>
  <rcc rId="2671" sId="3">
    <oc r="A149">
      <v>143</v>
    </oc>
    <nc r="A149"/>
  </rcc>
  <rcc rId="2672" sId="3">
    <oc r="B149" t="inlineStr">
      <is>
        <t>Капитальный ремонт фасада ТП-189 ул. Кузнецова, 17-А</t>
      </is>
    </oc>
    <nc r="B149"/>
  </rcc>
  <rcc rId="2673" sId="3">
    <oc r="C149" t="inlineStr">
      <is>
        <t>Счет-фактура №777</t>
      </is>
    </oc>
    <nc r="C149"/>
  </rcc>
  <rcc rId="2674" sId="3">
    <oc r="D149">
      <v>4</v>
    </oc>
    <nc r="D149"/>
  </rcc>
  <rcc rId="2675" sId="3">
    <oc r="F149" t="inlineStr">
      <is>
        <t>5-236/15 от 30.12.2016</t>
      </is>
    </oc>
    <nc r="F149"/>
  </rcc>
  <rcc rId="2676" sId="3">
    <oc r="G149">
      <f>0.037436*1000</f>
    </oc>
    <nc r="G149"/>
  </rcc>
  <rcc rId="2677" sId="3">
    <oc r="A150">
      <v>144</v>
    </oc>
    <nc r="A150"/>
  </rcc>
  <rcc rId="2678" sId="3">
    <oc r="B150" t="inlineStr">
      <is>
        <t>Капитальный ремонт (замена) кровли ТП-189 ул. Кузнецова, 17-А</t>
      </is>
    </oc>
    <nc r="B150"/>
  </rcc>
  <rcc rId="2679" sId="3">
    <oc r="C150" t="inlineStr">
      <is>
        <t>Счет-фактура №778</t>
      </is>
    </oc>
    <nc r="C150"/>
  </rcc>
  <rcc rId="2680" sId="3">
    <oc r="D150">
      <v>9</v>
    </oc>
    <nc r="D150"/>
  </rcc>
  <rcc rId="2681" sId="3">
    <oc r="F150" t="inlineStr">
      <is>
        <t>5-58/16 от 30.12.2016</t>
      </is>
    </oc>
    <nc r="F150"/>
  </rcc>
  <rcc rId="2682" sId="3">
    <oc r="G150">
      <f>0.189737*1000</f>
    </oc>
    <nc r="G150"/>
  </rcc>
  <rcc rId="2683" sId="3">
    <oc r="A151">
      <v>145</v>
    </oc>
    <nc r="A151"/>
  </rcc>
  <rcc rId="2684" sId="3">
    <oc r="B151" t="inlineStr">
      <is>
        <t>Ремонт фасада ТП-214 пр. Октябрьский, 35-А</t>
      </is>
    </oc>
    <nc r="B151"/>
  </rcc>
  <rcc rId="2685" sId="3">
    <oc r="C151" t="inlineStr">
      <is>
        <t>Счет-фактура №779</t>
      </is>
    </oc>
    <nc r="C151"/>
  </rcc>
  <rcc rId="2686" sId="3">
    <oc r="D151">
      <v>4</v>
    </oc>
    <nc r="D151"/>
  </rcc>
  <rcc rId="2687" sId="3">
    <oc r="F151" t="inlineStr">
      <is>
        <t>5-235/15 от 30.12.2016</t>
      </is>
    </oc>
    <nc r="F151"/>
  </rcc>
  <rcc rId="2688" sId="3">
    <oc r="G151">
      <f>0.044412*1000</f>
    </oc>
    <nc r="G151"/>
  </rcc>
  <rcc rId="2689" sId="3">
    <oc r="A152">
      <v>146</v>
    </oc>
    <nc r="A152"/>
  </rcc>
  <rcc rId="2690" sId="3">
    <oc r="B152" t="inlineStr">
      <is>
        <t>Капитальный ремонт (замена) кровли ТП-214 пр. Октябрьский, 35-А</t>
      </is>
    </oc>
    <nc r="B152"/>
  </rcc>
  <rcc rId="2691" sId="3">
    <oc r="C152" t="inlineStr">
      <is>
        <t>Счет-фактура №780</t>
      </is>
    </oc>
    <nc r="C152"/>
  </rcc>
  <rcc rId="2692" sId="3">
    <oc r="D152">
      <v>8</v>
    </oc>
    <nc r="D152"/>
  </rcc>
  <rcc rId="2693" sId="3">
    <oc r="F152" t="inlineStr">
      <is>
        <t>5-57/16 от 30.12.2016</t>
      </is>
    </oc>
    <nc r="F152"/>
  </rcc>
  <rcc rId="2694" sId="3">
    <oc r="G152">
      <f>0.25305*1000</f>
    </oc>
    <nc r="G152"/>
  </rcc>
  <rcc rId="2695" sId="3">
    <oc r="A153">
      <v>147</v>
    </oc>
    <nc r="A153"/>
  </rcc>
  <rcc rId="2696" sId="3">
    <oc r="B153" t="inlineStr">
      <is>
        <t>Ремонт фасада ТП-246 ул. Тольятти, 30-А корпус 2</t>
      </is>
    </oc>
    <nc r="B153"/>
  </rcc>
  <rcc rId="2697" sId="3">
    <oc r="C153" t="inlineStr">
      <is>
        <t>Счет-фактура №781</t>
      </is>
    </oc>
    <nc r="C153"/>
  </rcc>
  <rcc rId="2698" sId="3">
    <oc r="D153">
      <v>4</v>
    </oc>
    <nc r="D153"/>
  </rcc>
  <rcc rId="2699" sId="3">
    <oc r="F153" t="inlineStr">
      <is>
        <t>5-206/15 от 30.12.2016</t>
      </is>
    </oc>
    <nc r="F153"/>
  </rcc>
  <rcc rId="2700" sId="3">
    <oc r="G153">
      <f>0.051068*1000</f>
    </oc>
    <nc r="G153"/>
  </rcc>
  <rcc rId="2701" sId="3">
    <oc r="A154">
      <v>148</v>
    </oc>
    <nc r="A154"/>
  </rcc>
  <rcc rId="2702" sId="3">
    <oc r="B154" t="inlineStr">
      <is>
        <t>Капитальный ремонт (замена) кровли ТП-246 ул. Тольятти, 30-А корпус 2</t>
      </is>
    </oc>
    <nc r="B154"/>
  </rcc>
  <rcc rId="2703" sId="3">
    <oc r="C154" t="inlineStr">
      <is>
        <t>Счет-фактура №782</t>
      </is>
    </oc>
    <nc r="C154"/>
  </rcc>
  <rcc rId="2704" sId="3">
    <oc r="D154">
      <v>8</v>
    </oc>
    <nc r="D154"/>
  </rcc>
  <rcc rId="2705" sId="3">
    <oc r="F154" t="inlineStr">
      <is>
        <t>5-65/16 от 30.12.2016</t>
      </is>
    </oc>
    <nc r="F154"/>
  </rcc>
  <rcc rId="2706" sId="3">
    <oc r="G154">
      <f>0.249217*1000</f>
    </oc>
    <nc r="G154"/>
  </rcc>
  <rcc rId="2707" sId="3">
    <oc r="A155">
      <v>149</v>
    </oc>
    <nc r="A155"/>
  </rcc>
  <rcc rId="2708" sId="3">
    <oc r="B155" t="inlineStr">
      <is>
        <t>Капитальный ремонт силового трансформатора ТМ-400кВА в ТП-248 г. Новокузнецк</t>
      </is>
    </oc>
    <nc r="B155"/>
  </rcc>
  <rcc rId="2709" sId="3">
    <oc r="C155" t="inlineStr">
      <is>
        <t>Счет-фактура №792</t>
      </is>
    </oc>
    <nc r="C155"/>
  </rcc>
  <rcc rId="2710" sId="3">
    <oc r="D155">
      <v>5</v>
    </oc>
    <nc r="D155"/>
  </rcc>
  <rcc rId="2711" sId="3">
    <oc r="F155" t="inlineStr">
      <is>
        <t>5-119э/16 от 30.12.2016</t>
      </is>
    </oc>
    <nc r="F155"/>
  </rcc>
  <rcc rId="2712" sId="3">
    <oc r="G155">
      <f>0.157566*1000</f>
    </oc>
    <nc r="G155"/>
  </rcc>
  <rcc rId="2713" sId="3">
    <oc r="A156">
      <v>150</v>
    </oc>
    <nc r="A156"/>
  </rcc>
  <rcc rId="2714" sId="3">
    <oc r="B156" t="inlineStr">
      <is>
        <t>Капитальный ремонт фасада ТП-258 ул. Грдины, 10 корпус 1</t>
      </is>
    </oc>
    <nc r="B156"/>
  </rcc>
  <rcc rId="2715" sId="3">
    <oc r="C156" t="inlineStr">
      <is>
        <t>Счет-фактура №784</t>
      </is>
    </oc>
    <nc r="C156"/>
  </rcc>
  <rcc rId="2716" sId="3">
    <oc r="D156">
      <v>4</v>
    </oc>
    <nc r="D156"/>
  </rcc>
  <rcc rId="2717" sId="3">
    <oc r="F156" t="inlineStr">
      <is>
        <t>5-258/15 от 30.12.2016</t>
      </is>
    </oc>
    <nc r="F156"/>
  </rcc>
  <rcc rId="2718" sId="3">
    <oc r="G156">
      <f>0.060121*1000</f>
    </oc>
    <nc r="G156"/>
  </rcc>
  <rcc rId="2719" sId="3">
    <oc r="A157">
      <v>151</v>
    </oc>
    <nc r="A157"/>
  </rcc>
  <rcc rId="2720" sId="3">
    <oc r="B157" t="inlineStr">
      <is>
        <t>Капитальный ремонт (замена) кровли ТП-258 ул. Грдины, 10 корпус 1</t>
      </is>
    </oc>
    <nc r="B157"/>
  </rcc>
  <rcc rId="2721" sId="3">
    <oc r="C157" t="inlineStr">
      <is>
        <t>Счет-фактура №785</t>
      </is>
    </oc>
    <nc r="C157"/>
  </rcc>
  <rcc rId="2722" sId="3">
    <oc r="D157">
      <v>8</v>
    </oc>
    <nc r="D157"/>
  </rcc>
  <rcc rId="2723" sId="3">
    <oc r="F157" t="inlineStr">
      <is>
        <t>5-64/16 от 30.12.2016</t>
      </is>
    </oc>
    <nc r="F157"/>
  </rcc>
  <rcc rId="2724" sId="3">
    <oc r="G157">
      <f>0.246234*1000</f>
    </oc>
    <nc r="G157"/>
  </rcc>
  <rcc rId="2725" sId="3">
    <oc r="A158">
      <v>152</v>
    </oc>
    <nc r="A158"/>
  </rcc>
  <rcc rId="2726" sId="3">
    <oc r="B158" t="inlineStr">
      <is>
        <t>Капитальный ремонт (замена) кровли ТП-265 ул. Грдины, 28-А</t>
      </is>
    </oc>
    <nc r="B158"/>
  </rcc>
  <rcc rId="2727" sId="3">
    <oc r="C158" t="inlineStr">
      <is>
        <t>Счет-фактура №786</t>
      </is>
    </oc>
    <nc r="C158"/>
  </rcc>
  <rcc rId="2728" sId="3">
    <oc r="D158">
      <v>8</v>
    </oc>
    <nc r="D158"/>
  </rcc>
  <rcc rId="2729" sId="3">
    <oc r="F158" t="inlineStr">
      <is>
        <t>5-63/16 от 30.12.2016</t>
      </is>
    </oc>
    <nc r="F158"/>
  </rcc>
  <rcc rId="2730" sId="3">
    <oc r="G158">
      <f>0.243869*1000</f>
    </oc>
    <nc r="G158"/>
  </rcc>
  <rcc rId="2731" sId="3">
    <oc r="A159">
      <v>153</v>
    </oc>
    <nc r="A159"/>
  </rcc>
  <rcc rId="2732" sId="3">
    <oc r="B159" t="inlineStr">
      <is>
        <t>Капитальный ремонт силового трансформатора ТМ-320кВа в ТП-268 г. Новокузнецк</t>
      </is>
    </oc>
    <nc r="B159"/>
  </rcc>
  <rcc rId="2733" sId="3">
    <oc r="C159" t="inlineStr">
      <is>
        <t xml:space="preserve">Счет-фактура №787 </t>
      </is>
    </oc>
    <nc r="C159"/>
  </rcc>
  <rcc rId="2734" sId="3">
    <oc r="D159">
      <v>5</v>
    </oc>
    <nc r="D159"/>
  </rcc>
  <rcc rId="2735" sId="3">
    <oc r="F159" t="inlineStr">
      <is>
        <t>5-114э/16 от 30.12.2016</t>
      </is>
    </oc>
    <nc r="F159"/>
  </rcc>
  <rcc rId="2736" sId="3">
    <oc r="G159">
      <f>0.148733*1000</f>
    </oc>
    <nc r="G159"/>
  </rcc>
  <rcc rId="2737" sId="3">
    <oc r="A160">
      <v>154</v>
    </oc>
    <nc r="A160"/>
  </rcc>
  <rcc rId="2738" sId="3">
    <oc r="B160" t="inlineStr">
      <is>
        <t>Капитальный ремонт силового трансформатора ТМ-630кВа в ТП-315 г. Новокузнецк</t>
      </is>
    </oc>
    <nc r="B160"/>
  </rcc>
  <rcc rId="2739" sId="3">
    <oc r="C160" t="inlineStr">
      <is>
        <t xml:space="preserve">Счет-фактура №788 </t>
      </is>
    </oc>
    <nc r="C160"/>
  </rcc>
  <rcc rId="2740" sId="3">
    <oc r="D160">
      <v>5</v>
    </oc>
    <nc r="D160"/>
  </rcc>
  <rcc rId="2741" sId="3">
    <oc r="F160" t="inlineStr">
      <is>
        <t>5-122э/16 от 30.12.2016</t>
      </is>
    </oc>
    <nc r="F160"/>
  </rcc>
  <rcc rId="2742" sId="3">
    <oc r="G160">
      <f>0.179794*1000</f>
    </oc>
    <nc r="G160"/>
  </rcc>
  <rcc rId="2743" sId="3">
    <oc r="A161">
      <v>155</v>
    </oc>
    <nc r="A161"/>
  </rcc>
  <rcc rId="2744" sId="3">
    <oc r="B161" t="inlineStr">
      <is>
        <t>Ремонт фасада ТП-326 ул. Олеко Дуднича, 15 п. Притомский</t>
      </is>
    </oc>
    <nc r="B161"/>
  </rcc>
  <rcc rId="2745" sId="3">
    <oc r="C161" t="inlineStr">
      <is>
        <t>Счет-фактура №789</t>
      </is>
    </oc>
    <nc r="C161"/>
  </rcc>
  <rcc rId="2746" sId="3">
    <oc r="D161">
      <v>4</v>
    </oc>
    <nc r="D161"/>
  </rcc>
  <rcc rId="2747" sId="3">
    <oc r="F161" t="inlineStr">
      <is>
        <t>5-82,/16 от 30.12.2016</t>
      </is>
    </oc>
    <nc r="F161"/>
  </rcc>
  <rcc rId="2748" sId="3">
    <oc r="G161">
      <f>0.039084*1000</f>
    </oc>
    <nc r="G161"/>
  </rcc>
  <rcc rId="2749" sId="3">
    <oc r="A162">
      <v>156</v>
    </oc>
    <nc r="A162"/>
  </rcc>
  <rcc rId="2750" sId="3">
    <oc r="B162" t="inlineStr">
      <is>
        <t>Капитальный ремонт силового трансформатора ТМ-630кВА в ТП-343 г. Новокузнецк</t>
      </is>
    </oc>
    <nc r="B162"/>
  </rcc>
  <rcc rId="2751" sId="3">
    <oc r="C162" t="inlineStr">
      <is>
        <t xml:space="preserve">Счет-фактура №790 </t>
      </is>
    </oc>
    <nc r="C162"/>
  </rcc>
  <rcc rId="2752" sId="3">
    <oc r="D162">
      <v>5</v>
    </oc>
    <nc r="D162"/>
  </rcc>
  <rcc rId="2753" sId="3">
    <oc r="F162" t="inlineStr">
      <is>
        <t>5-124э/16 от 30.12.2016</t>
      </is>
    </oc>
    <nc r="F162"/>
  </rcc>
  <rcc rId="2754" sId="3">
    <oc r="G162">
      <f>0.179794*1000</f>
    </oc>
    <nc r="G162"/>
  </rcc>
  <rcc rId="2755" sId="3">
    <oc r="A163">
      <v>157</v>
    </oc>
    <nc r="A163"/>
  </rcc>
  <rcc rId="2756" sId="3">
    <oc r="B163" t="inlineStr">
      <is>
        <t>Капитальный ремонт силового трансформатора ТМ-400кВА в ТП-362 г. Новокузнецк</t>
      </is>
    </oc>
    <nc r="B163"/>
  </rcc>
  <rcc rId="2757" sId="3">
    <oc r="C163" t="inlineStr">
      <is>
        <t xml:space="preserve">Счет-фактура №783 </t>
      </is>
    </oc>
    <nc r="C163"/>
  </rcc>
  <rcc rId="2758" sId="3">
    <oc r="D163">
      <v>5</v>
    </oc>
    <nc r="D163"/>
  </rcc>
  <rcc rId="2759" sId="3">
    <oc r="F163" t="inlineStr">
      <is>
        <t>5-115э/16 от 30.12.2016</t>
      </is>
    </oc>
    <nc r="F163"/>
  </rcc>
  <rcc rId="2760" sId="3">
    <oc r="G163">
      <f>0.157566*1000</f>
    </oc>
    <nc r="G163"/>
  </rcc>
  <rcc rId="2761" sId="3">
    <oc r="A164">
      <v>158</v>
    </oc>
    <nc r="A164"/>
  </rcc>
  <rcc rId="2762" sId="3">
    <oc r="B164" t="inlineStr">
      <is>
        <t>Капитальный ремонт кровли ТП-406 ул. Горьковская, 33-А</t>
      </is>
    </oc>
    <nc r="B164"/>
  </rcc>
  <rcc rId="2763" sId="3">
    <oc r="C164" t="inlineStr">
      <is>
        <t>Счет-фактура №793</t>
      </is>
    </oc>
    <nc r="C164"/>
  </rcc>
  <rcc rId="2764" sId="3">
    <oc r="D164">
      <v>9</v>
    </oc>
    <nc r="D164"/>
  </rcc>
  <rcc rId="2765" sId="3">
    <oc r="F164" t="inlineStr">
      <is>
        <t>3-115/16 от 30.12.2016</t>
      </is>
    </oc>
    <nc r="F164"/>
  </rcc>
  <rcc rId="2766" sId="3">
    <oc r="G164">
      <f>0.299942*1000</f>
    </oc>
    <nc r="G164"/>
  </rcc>
  <rcc rId="2767" sId="3">
    <oc r="A165">
      <v>159</v>
    </oc>
    <nc r="A165"/>
  </rcc>
  <rcc rId="2768" sId="3">
    <oc r="B165" t="inlineStr">
      <is>
        <t>Капитальный ремонт кровли ТП-409 ул. Горьковская, 23-А</t>
      </is>
    </oc>
    <nc r="B165"/>
  </rcc>
  <rcc rId="2769" sId="3">
    <oc r="C165" t="inlineStr">
      <is>
        <t>Счет-фактура №794</t>
      </is>
    </oc>
    <nc r="C165"/>
  </rcc>
  <rcc rId="2770" sId="3">
    <oc r="D165">
      <v>8</v>
    </oc>
    <nc r="D165"/>
  </rcc>
  <rcc rId="2771" sId="3">
    <oc r="F165" t="inlineStr">
      <is>
        <t>3-114/16 от 30.12.2016</t>
      </is>
    </oc>
    <nc r="F165"/>
  </rcc>
  <rcc rId="2772" sId="3">
    <oc r="G165">
      <f>0.206441*1000</f>
    </oc>
    <nc r="G165"/>
  </rcc>
  <rcc rId="2773" sId="3">
    <oc r="A166">
      <v>160</v>
    </oc>
    <nc r="A166"/>
  </rcc>
  <rcc rId="2774" sId="3">
    <oc r="B166" t="inlineStr">
      <is>
        <t>Капитальный ремонт кровли ТП-416 ул. Ярославская, 15 корпус 7</t>
      </is>
    </oc>
    <nc r="B166"/>
  </rcc>
  <rcc rId="2775" sId="3">
    <oc r="C166" t="inlineStr">
      <is>
        <t>Счет-фактура №795</t>
      </is>
    </oc>
    <nc r="C166"/>
  </rcc>
  <rcc rId="2776" sId="3">
    <oc r="D166">
      <v>8</v>
    </oc>
    <nc r="D166"/>
  </rcc>
  <rcc rId="2777" sId="3">
    <oc r="F166" t="inlineStr">
      <is>
        <t>5-118/16 от 30.12.2016</t>
      </is>
    </oc>
    <nc r="F166"/>
  </rcc>
  <rcc rId="2778" sId="3">
    <oc r="G166">
      <f>0.228837*1000</f>
    </oc>
    <nc r="G166"/>
  </rcc>
  <rcc rId="2779" sId="3">
    <oc r="A167">
      <v>161</v>
    </oc>
    <nc r="A167"/>
  </rcc>
  <rcc rId="2780" sId="3">
    <oc r="B167" t="inlineStr">
      <is>
        <t>Капитальный ремонт кровли ТП-459 ул. 13-й Микрорайон, 3-А</t>
      </is>
    </oc>
    <nc r="B167"/>
  </rcc>
  <rcc rId="2781" sId="3">
    <oc r="C167" t="inlineStr">
      <is>
        <t>Счет-фактура №796</t>
      </is>
    </oc>
    <nc r="C167"/>
  </rcc>
  <rcc rId="2782" sId="3">
    <oc r="D167">
      <v>8</v>
    </oc>
    <nc r="D167"/>
  </rcc>
  <rcc rId="2783" sId="3">
    <oc r="F167" t="inlineStr">
      <is>
        <t>3-124/16 от 30.12.2016</t>
      </is>
    </oc>
    <nc r="F167"/>
  </rcc>
  <rcc rId="2784" sId="3">
    <oc r="G167">
      <f>0.214695*1000</f>
    </oc>
    <nc r="G167"/>
  </rcc>
  <rcc rId="2785" sId="3">
    <oc r="A168">
      <v>162</v>
    </oc>
    <nc r="A168"/>
  </rcc>
  <rcc rId="2786" sId="3">
    <oc r="B168" t="inlineStr">
      <is>
        <t>Капитальный ремонт кровли ТП-465 ул. Клименко, 32-А</t>
      </is>
    </oc>
    <nc r="B168"/>
  </rcc>
  <rcc rId="2787" sId="3">
    <oc r="C168" t="inlineStr">
      <is>
        <t>Счет-фактура №797</t>
      </is>
    </oc>
    <nc r="C168"/>
  </rcc>
  <rcc rId="2788" sId="3">
    <oc r="D168">
      <v>8</v>
    </oc>
    <nc r="D168"/>
  </rcc>
  <rcc rId="2789" sId="3">
    <oc r="F168" t="inlineStr">
      <is>
        <t>3-119/16 от 30.12.2016</t>
      </is>
    </oc>
    <nc r="F168"/>
  </rcc>
  <rcc rId="2790" sId="3">
    <oc r="G168">
      <f>0.276902*1000</f>
    </oc>
    <nc r="G168"/>
  </rcc>
  <rcc rId="2791" sId="3">
    <oc r="A169">
      <v>163</v>
    </oc>
    <nc r="A169"/>
  </rcc>
  <rcc rId="2792" sId="3">
    <oc r="B169" t="inlineStr">
      <is>
        <t>Капитальный ремонт кровли ТП-477 ул. Тореза, 68-А</t>
      </is>
    </oc>
    <nc r="B169"/>
  </rcc>
  <rcc rId="2793" sId="3">
    <oc r="C169" t="inlineStr">
      <is>
        <t>Счет-фактура №798</t>
      </is>
    </oc>
    <nc r="C169"/>
  </rcc>
  <rcc rId="2794" sId="3">
    <oc r="D169">
      <v>8</v>
    </oc>
    <nc r="D169"/>
  </rcc>
  <rcc rId="2795" sId="3">
    <oc r="F169" t="inlineStr">
      <is>
        <t>3-120/16 от 30.12.2016</t>
      </is>
    </oc>
    <nc r="F169"/>
  </rcc>
  <rcc rId="2796" sId="3">
    <oc r="G169">
      <f>0.232951*1000</f>
    </oc>
    <nc r="G169"/>
  </rcc>
  <rcc rId="2797" sId="3">
    <oc r="A170">
      <v>164</v>
    </oc>
    <nc r="A170"/>
  </rcc>
  <rcc rId="2798" sId="3">
    <oc r="B170" t="inlineStr">
      <is>
        <t>Капитальный ремонт кровли ТП-488 пр. Советской Армии, 59-А</t>
      </is>
    </oc>
    <nc r="B170"/>
  </rcc>
  <rcc rId="2799" sId="3">
    <oc r="C170" t="inlineStr">
      <is>
        <t>Счет-фактура №799</t>
      </is>
    </oc>
    <nc r="C170"/>
  </rcc>
  <rcc rId="2800" sId="3">
    <oc r="D170">
      <v>8</v>
    </oc>
    <nc r="D170"/>
  </rcc>
  <rcc rId="2801" sId="3">
    <oc r="F170" t="inlineStr">
      <is>
        <t>3-121/16 от 30.12.2016</t>
      </is>
    </oc>
    <nc r="F170"/>
  </rcc>
  <rcc rId="2802" sId="3">
    <oc r="G170">
      <f>0.245007*1000</f>
    </oc>
    <nc r="G170"/>
  </rcc>
  <rcc rId="2803" sId="3">
    <oc r="A171">
      <v>165</v>
    </oc>
    <nc r="A171"/>
  </rcc>
  <rcc rId="2804" sId="3">
    <oc r="B171" t="inlineStr">
      <is>
        <t>Капитальный ремонт силового трансформатора ТМ-180кВА в ТП-504 г. Новокузнецк</t>
      </is>
    </oc>
    <nc r="B171"/>
  </rcc>
  <rcc rId="2805" sId="3">
    <oc r="C171" t="inlineStr">
      <is>
        <t xml:space="preserve">Счет-фактура №800 </t>
      </is>
    </oc>
    <nc r="C171"/>
  </rcc>
  <rcc rId="2806" sId="3">
    <oc r="D171">
      <v>5</v>
    </oc>
    <nc r="D171"/>
  </rcc>
  <rcc rId="2807" sId="3">
    <oc r="F171" t="inlineStr">
      <is>
        <t>5-113э/16 от 30.12.2016</t>
      </is>
    </oc>
    <nc r="F171"/>
  </rcc>
  <rcc rId="2808" sId="3">
    <oc r="G171">
      <f>0.136262*1000</f>
    </oc>
    <nc r="G171"/>
  </rcc>
  <rcc rId="2809" sId="3">
    <oc r="A172">
      <v>166</v>
    </oc>
    <nc r="A172"/>
  </rcc>
  <rcc rId="2810" sId="3">
    <oc r="B172" t="inlineStr">
      <is>
        <t>Капитальный ремонт (замена) кровли ТП-803 ул. Авиаторов, 92-А</t>
      </is>
    </oc>
    <nc r="B172"/>
  </rcc>
  <rcc rId="2811" sId="3">
    <oc r="C172" t="inlineStr">
      <is>
        <t>Счет-фактура №802</t>
      </is>
    </oc>
    <nc r="C172"/>
  </rcc>
  <rcc rId="2812" sId="3">
    <oc r="D172">
      <v>8</v>
    </oc>
    <nc r="D172"/>
  </rcc>
  <rcc rId="2813" sId="3">
    <oc r="F172" t="inlineStr">
      <is>
        <t>5-107/16 от 30.12.2016</t>
      </is>
    </oc>
    <nc r="F172"/>
  </rcc>
  <rcc rId="2814" sId="3">
    <oc r="G172">
      <f>0.264232*1000</f>
    </oc>
    <nc r="G172"/>
  </rcc>
  <rcc rId="2815" sId="3">
    <oc r="A173">
      <v>167</v>
    </oc>
    <nc r="A173"/>
  </rcc>
  <rcc rId="2816" sId="3">
    <oc r="B173" t="inlineStr">
      <is>
        <t>Капитальный ремонт силового трансформатора ТМ-630кВа в ТП-814 г. Новокузнецк</t>
      </is>
    </oc>
    <nc r="B173"/>
  </rcc>
  <rcc rId="2817" sId="3">
    <oc r="C173" t="inlineStr">
      <is>
        <t xml:space="preserve">Счет-фактура №804 </t>
      </is>
    </oc>
    <nc r="C173"/>
  </rcc>
  <rcc rId="2818" sId="3">
    <oc r="D173">
      <v>5</v>
    </oc>
    <nc r="D173"/>
  </rcc>
  <rcc rId="2819" sId="3">
    <oc r="F173" t="inlineStr">
      <is>
        <t>5-125э/16 от 30.12.2016</t>
      </is>
    </oc>
    <nc r="F173"/>
  </rcc>
  <rcc rId="2820" sId="3">
    <oc r="G173">
      <f>0.179794*1000</f>
    </oc>
    <nc r="G173"/>
  </rcc>
  <rcc rId="2821" sId="3">
    <oc r="A174">
      <v>168</v>
    </oc>
    <nc r="A174"/>
  </rcc>
  <rcc rId="2822" sId="3">
    <oc r="B174" t="inlineStr">
      <is>
        <t>Капитальный ремонт силового трансформатора ТМ-630кВа в ТП-815 г. Новокузнецк</t>
      </is>
    </oc>
    <nc r="B174"/>
  </rcc>
  <rcc rId="2823" sId="3">
    <oc r="C174" t="inlineStr">
      <is>
        <t xml:space="preserve">Счет-фактура №805 </t>
      </is>
    </oc>
    <nc r="C174"/>
  </rcc>
  <rcc rId="2824" sId="3">
    <oc r="D174">
      <v>5</v>
    </oc>
    <nc r="D174"/>
  </rcc>
  <rcc rId="2825" sId="3">
    <oc r="F174" t="inlineStr">
      <is>
        <t>5-126э/16 от 30.12.2016</t>
      </is>
    </oc>
    <nc r="F174"/>
  </rcc>
  <rcc rId="2826" sId="3">
    <oc r="G174">
      <f>0.179794*1000</f>
    </oc>
    <nc r="G174"/>
  </rcc>
  <rcc rId="2827" sId="3">
    <oc r="A175">
      <v>169</v>
    </oc>
    <nc r="A175"/>
  </rcc>
  <rcc rId="2828" sId="3">
    <oc r="B175" t="inlineStr">
      <is>
        <t>Капитальный ремонт кровли ТП-817 ул. Новоселов, 43-А</t>
      </is>
    </oc>
    <nc r="B175"/>
  </rcc>
  <rcc rId="2829" sId="3">
    <oc r="C175" t="inlineStr">
      <is>
        <t>Счет-фактура №806</t>
      </is>
    </oc>
    <nc r="C175"/>
  </rcc>
  <rcc rId="2830" sId="3">
    <oc r="D175">
      <v>8</v>
    </oc>
    <nc r="D175"/>
  </rcc>
  <rcc rId="2831" sId="3">
    <oc r="F175" t="inlineStr">
      <is>
        <t>4-122/16 от 30.12.2016</t>
      </is>
    </oc>
    <nc r="F175"/>
  </rcc>
  <rcc rId="2832" sId="3">
    <oc r="G175">
      <f>0.265936*1000</f>
    </oc>
    <nc r="G175"/>
  </rcc>
  <rcc rId="2833" sId="3">
    <oc r="A176">
      <v>170</v>
    </oc>
    <nc r="A176"/>
  </rcc>
  <rcc rId="2834" sId="3">
    <oc r="B176" t="inlineStr">
      <is>
        <t>Капитальный ремонт кровли ТП-819 ул. Новоселов, 65-А</t>
      </is>
    </oc>
    <nc r="B176"/>
  </rcc>
  <rcc rId="2835" sId="3">
    <oc r="C176" t="inlineStr">
      <is>
        <t>Счет-фактура №807</t>
      </is>
    </oc>
    <nc r="C176"/>
  </rcc>
  <rcc rId="2836" sId="3">
    <oc r="D176">
      <v>8</v>
    </oc>
    <nc r="D176"/>
  </rcc>
  <rcc rId="2837" sId="3">
    <oc r="F176" t="inlineStr">
      <is>
        <t>4-123/16 от 30.12.2016</t>
      </is>
    </oc>
    <nc r="F176"/>
  </rcc>
  <rcc rId="2838" sId="3">
    <oc r="G176">
      <f>0.249046*1000</f>
    </oc>
    <nc r="G176"/>
  </rcc>
  <rcc rId="2839" sId="3">
    <oc r="A177">
      <v>171</v>
    </oc>
    <nc r="A177"/>
  </rcc>
  <rcc rId="2840" sId="3">
    <oc r="B177" t="inlineStr">
      <is>
        <t>Капитальный ремонт кровли ТП-854 пр. Космонавтов, 6-А</t>
      </is>
    </oc>
    <nc r="B177"/>
  </rcc>
  <rcc rId="2841" sId="3">
    <oc r="C177" t="inlineStr">
      <is>
        <t>Счет-фактура №808</t>
      </is>
    </oc>
    <nc r="C177"/>
  </rcc>
  <rcc rId="2842" sId="3">
    <oc r="D177">
      <v>8</v>
    </oc>
    <nc r="D177"/>
  </rcc>
  <rcc rId="2843" sId="3">
    <oc r="F177" t="inlineStr">
      <is>
        <t>4-126/16 от 30.12.2016</t>
      </is>
    </oc>
    <nc r="F177"/>
  </rcc>
  <rcc rId="2844" sId="3">
    <oc r="G177">
      <f>0.248789*1000</f>
    </oc>
    <nc r="G177"/>
  </rcc>
  <rcc rId="2845" sId="3">
    <oc r="A178">
      <v>172</v>
    </oc>
    <nc r="A178"/>
  </rcc>
  <rcc rId="2846" sId="3">
    <oc r="B178" t="inlineStr">
      <is>
        <t>Капитальный ремонт кровли ТП-820 пр. Авиаторов, 126-А</t>
      </is>
    </oc>
    <nc r="B178"/>
  </rcc>
  <rcc rId="2847" sId="3">
    <oc r="C178" t="inlineStr">
      <is>
        <t>Счет-фактура №809</t>
      </is>
    </oc>
    <nc r="C178"/>
  </rcc>
  <rcc rId="2848" sId="3">
    <oc r="D178">
      <v>8</v>
    </oc>
    <nc r="D178"/>
  </rcc>
  <rcc rId="2849" sId="3">
    <oc r="F178" t="inlineStr">
      <is>
        <t>4-125/16 от 30.12.2016</t>
      </is>
    </oc>
    <nc r="F178"/>
  </rcc>
  <rcc rId="2850" sId="3">
    <oc r="G178">
      <f>0.244937*1000</f>
    </oc>
    <nc r="G178"/>
  </rcc>
  <rcc rId="2851" sId="3">
    <oc r="A179">
      <v>173</v>
    </oc>
    <nc r="A179"/>
  </rcc>
  <rcc rId="2852" sId="3">
    <oc r="B179" t="inlineStr">
      <is>
        <t>Ремонт фасада ТП-820</t>
      </is>
    </oc>
    <nc r="B179"/>
  </rcc>
  <rcc rId="2853" sId="3">
    <oc r="C179" t="inlineStr">
      <is>
        <t>Счет-фактура №810</t>
      </is>
    </oc>
    <nc r="C179"/>
  </rcc>
  <rcc rId="2854" sId="3">
    <oc r="D179">
      <v>4</v>
    </oc>
    <nc r="D179"/>
  </rcc>
  <rcc rId="2855" sId="3">
    <oc r="F179" t="inlineStr">
      <is>
        <t>5-12/16 от 30.12.2016</t>
      </is>
    </oc>
    <nc r="F179"/>
  </rcc>
  <rcc rId="2856" sId="3">
    <oc r="G179">
      <f>0.075866*1000</f>
    </oc>
    <nc r="G179"/>
  </rcc>
  <rcc rId="2857" sId="3">
    <oc r="A180">
      <v>174</v>
    </oc>
    <nc r="A180"/>
  </rcc>
  <rcc rId="2858" sId="3">
    <oc r="B180" t="inlineStr">
      <is>
        <t>Капитальный ремонт силового трансформатора ТМ-630кВа в ТП-915 г. Новокузнецк</t>
      </is>
    </oc>
    <nc r="B180"/>
  </rcc>
  <rcc rId="2859" sId="3">
    <oc r="C180" t="inlineStr">
      <is>
        <t xml:space="preserve">Счет-фактура №811 </t>
      </is>
    </oc>
    <nc r="C180"/>
  </rcc>
  <rcc rId="2860" sId="3">
    <oc r="D180">
      <v>5</v>
    </oc>
    <nc r="D180"/>
  </rcc>
  <rcc rId="2861" sId="3">
    <oc r="F180" t="inlineStr">
      <is>
        <t>5-116э/16 от 30.12.2016</t>
      </is>
    </oc>
    <nc r="F180"/>
  </rcc>
  <rcc rId="2862" sId="3">
    <oc r="G180">
      <f>0.179794*1000</f>
    </oc>
    <nc r="G180"/>
  </rcc>
  <rcc rId="2863" sId="3">
    <oc r="A181">
      <v>175</v>
    </oc>
    <nc r="A181"/>
  </rcc>
  <rcc rId="2864" sId="3">
    <oc r="B181" t="inlineStr">
      <is>
        <t>Капитальный ремонт. Ремонт масляного выключателя ВМД-35 г. Новокузнецк</t>
      </is>
    </oc>
    <nc r="B181"/>
  </rcc>
  <rcc rId="2865" sId="3">
    <oc r="C181" t="inlineStr">
      <is>
        <t xml:space="preserve">Счет-фактура №812 </t>
      </is>
    </oc>
    <nc r="C181"/>
  </rcc>
  <rcc rId="2866" sId="3">
    <oc r="D181">
      <v>4</v>
    </oc>
    <nc r="D181"/>
  </rcc>
  <rcc rId="2867" sId="3">
    <oc r="F181" t="inlineStr">
      <is>
        <t>5-87э/16 от 30.12.2016</t>
      </is>
    </oc>
    <nc r="F181"/>
  </rcc>
  <rcc rId="2868" sId="3">
    <oc r="G181">
      <f>0.115726*1000</f>
    </oc>
    <nc r="G181"/>
  </rcc>
  <rcc rId="2869" sId="3">
    <oc r="A182">
      <v>176</v>
    </oc>
    <nc r="A182"/>
  </rcc>
  <rcc rId="2870" sId="3">
    <oc r="B182" t="inlineStr">
      <is>
        <t>Капитальный ремонт ЦРП-2 ул. Бугарева, 30</t>
      </is>
    </oc>
    <nc r="B182"/>
  </rcc>
  <rcc rId="2871" sId="3">
    <oc r="C182" t="inlineStr">
      <is>
        <t xml:space="preserve">Счет-фактура №813 </t>
      </is>
    </oc>
    <nc r="C182"/>
  </rcc>
  <rcc rId="2872" sId="3">
    <oc r="D182">
      <v>8</v>
    </oc>
    <nc r="D182"/>
  </rcc>
  <rcc rId="2873" sId="3">
    <oc r="F182" t="inlineStr">
      <is>
        <t>5-303 А/15 от 30.12.2016</t>
      </is>
    </oc>
    <nc r="F182"/>
  </rcc>
  <rcc rId="2874" sId="3">
    <oc r="G182">
      <f>0.234626*1000</f>
    </oc>
    <nc r="G182"/>
  </rcc>
  <rcc rId="2875" sId="3">
    <oc r="A183">
      <v>177</v>
    </oc>
    <nc r="A183"/>
  </rcc>
  <rcc rId="2876" sId="3">
    <oc r="B183" t="inlineStr">
      <is>
        <t>Капитальный ремонт трансформатора ТРДНС 25000кВА на ПС №5 "Новая" г. Новокузнецк</t>
      </is>
    </oc>
    <nc r="B183"/>
  </rcc>
  <rcc rId="2877" sId="3">
    <oc r="C183" t="inlineStr">
      <is>
        <t>Счет-фактура №814</t>
      </is>
    </oc>
    <nc r="C183"/>
  </rcc>
  <rcc rId="2878" sId="3">
    <oc r="D183">
      <v>8</v>
    </oc>
    <nc r="D183"/>
  </rcc>
  <rcc rId="2879" sId="3">
    <oc r="F183" t="inlineStr">
      <is>
        <t>1710/16доп от 30.12.2016</t>
      </is>
    </oc>
    <nc r="F183"/>
  </rcc>
  <rcc rId="2880" sId="3">
    <oc r="G183">
      <f>2.936401*1000</f>
    </oc>
    <nc r="G183"/>
  </rcc>
  <rcc rId="2881" sId="3">
    <oc r="C184" t="inlineStr">
      <is>
        <t xml:space="preserve">Счет-фактура №815 </t>
      </is>
    </oc>
    <nc r="C184"/>
  </rcc>
  <rcc rId="2882" sId="3">
    <oc r="D184">
      <v>6</v>
    </oc>
    <nc r="D184"/>
  </rcc>
  <rcc rId="2883" sId="3">
    <oc r="F184" t="inlineStr">
      <is>
        <t>14-1э/16 от 30.12.2016</t>
      </is>
    </oc>
    <nc r="F184"/>
  </rcc>
  <rcc rId="2884" sId="3">
    <oc r="G184">
      <f>0.962984*1000</f>
    </oc>
    <nc r="G184"/>
  </rcc>
  <rcc rId="2885" sId="3">
    <oc r="C185" t="inlineStr">
      <is>
        <t>Счет-фактура №816</t>
      </is>
    </oc>
    <nc r="C185"/>
  </rcc>
  <rcc rId="2886" sId="3">
    <oc r="D185">
      <v>8</v>
    </oc>
    <nc r="D185"/>
  </rcc>
  <rcc rId="2887" sId="3">
    <oc r="F185" t="inlineStr">
      <is>
        <t>1710э/16 от 30.12.2016</t>
      </is>
    </oc>
    <nc r="F185"/>
  </rcc>
  <rcc rId="2888" sId="3">
    <oc r="G185">
      <f>3.013943*1000</f>
    </oc>
    <nc r="G185"/>
  </rcc>
  <rcc rId="2889" sId="3">
    <oc r="A186">
      <v>178</v>
    </oc>
    <nc r="A186"/>
  </rcc>
  <rcc rId="2890" sId="3">
    <oc r="B186" t="inlineStr">
      <is>
        <t>Восстановление элементов благоустройства после проведения ремонта на электрических сетях Центального и Куйбышевского районов</t>
      </is>
    </oc>
    <nc r="B186"/>
  </rcc>
  <rcc rId="2891" sId="3">
    <oc r="C186" t="inlineStr">
      <is>
        <t>Счет-фактура №817</t>
      </is>
    </oc>
    <nc r="C186"/>
  </rcc>
  <rcc rId="2892" sId="3">
    <oc r="D186">
      <v>6</v>
    </oc>
    <nc r="D186"/>
  </rcc>
  <rcc rId="2893" sId="3">
    <oc r="F186" t="inlineStr">
      <is>
        <t>5-110/16 от 30.12.2016</t>
      </is>
    </oc>
    <nc r="F186"/>
  </rcc>
  <rcc rId="2894" sId="3">
    <oc r="G186">
      <f>1.430045*1000</f>
    </oc>
    <nc r="G186"/>
  </rcc>
  <rcc rId="2895" sId="3">
    <oc r="A187">
      <v>179</v>
    </oc>
    <nc r="A187"/>
  </rcc>
  <rcc rId="2896" sId="3">
    <oc r="B187" t="inlineStr">
      <is>
        <t>Ремонт помещений №207 АБК ул. Орджоникидзе, 12</t>
      </is>
    </oc>
    <nc r="B187"/>
  </rcc>
  <rcc rId="2897" sId="3">
    <oc r="C187" t="inlineStr">
      <is>
        <t>Счет-фактура №818</t>
      </is>
    </oc>
    <nc r="C187"/>
  </rcc>
  <rcc rId="2898" sId="3">
    <oc r="D187">
      <v>6</v>
    </oc>
    <nc r="D187"/>
  </rcc>
  <rcc rId="2899" sId="3">
    <oc r="F187" t="inlineStr">
      <is>
        <t>5-129/16 от 30.12.2016</t>
      </is>
    </oc>
    <nc r="F187"/>
  </rcc>
  <rcc rId="2900" sId="3">
    <oc r="G187">
      <f>0.131415*1000</f>
    </oc>
    <nc r="G187"/>
  </rcc>
  <rcc rId="2901" sId="3">
    <oc r="A188">
      <v>180</v>
    </oc>
    <nc r="A188"/>
  </rcc>
  <rcc rId="2902" sId="3">
    <oc r="B188" t="inlineStr">
      <is>
        <t>Ремонт помещений ОДС 3 этаж АБК ул. Орджоникидзе, 12</t>
      </is>
    </oc>
    <nc r="B188"/>
  </rcc>
  <rcc rId="2903" sId="3">
    <oc r="C188" t="inlineStr">
      <is>
        <t>Счет-фактура №819</t>
      </is>
    </oc>
    <nc r="C188"/>
  </rcc>
  <rcc rId="2904" sId="3">
    <oc r="D188">
      <v>6</v>
    </oc>
    <nc r="D188"/>
  </rcc>
  <rcc rId="2905" sId="3">
    <oc r="F188" t="inlineStr">
      <is>
        <t>5-128/16 от 30.12.2016</t>
      </is>
    </oc>
    <nc r="F188"/>
  </rcc>
  <rcc rId="2906" sId="3">
    <oc r="G188">
      <f>0.265015*1000</f>
    </oc>
    <nc r="G188"/>
  </rcc>
  <rcc rId="2907" sId="3">
    <oc r="A189">
      <v>181</v>
    </oc>
    <nc r="A189"/>
  </rcc>
  <rcc rId="2908" sId="3">
    <oc r="B189" t="inlineStr">
      <is>
        <t>Ремонт системы АИИСКУЭ в ЦК ЭСР (частный сектор)</t>
      </is>
    </oc>
    <nc r="B189"/>
  </rcc>
  <rcc rId="2909" sId="3">
    <oc r="C189" t="inlineStr">
      <is>
        <t xml:space="preserve">Счет-фактура №820 </t>
      </is>
    </oc>
    <nc r="C189"/>
  </rcc>
  <rcc rId="2910" sId="3">
    <oc r="D189">
      <v>4</v>
    </oc>
    <nc r="D189"/>
  </rcc>
  <rcc rId="2911" sId="3">
    <oc r="F189" t="inlineStr">
      <is>
        <t>5-117э/16 от 30.12.2016</t>
      </is>
    </oc>
    <nc r="F189"/>
  </rcc>
  <rcc rId="2912" sId="3">
    <oc r="G189">
      <f>0.527075*1000</f>
    </oc>
    <nc r="G189"/>
  </rcc>
  <rcc rId="2913" sId="3">
    <oc r="A190">
      <v>182</v>
    </oc>
    <nc r="A190"/>
  </rcc>
  <rcc rId="2914" sId="3">
    <oc r="B190" t="inlineStr">
      <is>
        <t xml:space="preserve">Капитальный ремонт трансформатора 160/6кВ в ТП-321 </t>
      </is>
    </oc>
    <nc r="B190"/>
  </rcc>
  <rcc rId="2915" sId="3">
    <oc r="C190" t="inlineStr">
      <is>
        <t>Счет-фактура №956</t>
      </is>
    </oc>
    <nc r="C190"/>
  </rcc>
  <rcc rId="2916" sId="3">
    <oc r="D190">
      <v>5</v>
    </oc>
    <nc r="D190"/>
  </rcc>
  <rcc rId="2917" sId="3">
    <oc r="F190" t="inlineStr">
      <is>
        <t>338-ТМ/16 от 23.12.216</t>
      </is>
    </oc>
    <nc r="F190"/>
  </rcc>
  <rcc rId="2918" sId="3">
    <oc r="G190">
      <f>0.125083*1000</f>
    </oc>
    <nc r="G190"/>
  </rcc>
  <rcc rId="2919" sId="3">
    <oc r="A191">
      <v>183</v>
    </oc>
    <nc r="A191"/>
  </rcc>
  <rcc rId="2920" sId="3">
    <oc r="B191" t="inlineStr">
      <is>
        <t xml:space="preserve">Капитальный ремонт трансформатора 100/6кВ в ТП-321 </t>
      </is>
    </oc>
    <nc r="B191"/>
  </rcc>
  <rcc rId="2921" sId="3">
    <oc r="C191" t="inlineStr">
      <is>
        <t>Счет-фактура №958</t>
      </is>
    </oc>
    <nc r="C191"/>
  </rcc>
  <rcc rId="2922" sId="3">
    <oc r="D191">
      <v>5</v>
    </oc>
    <nc r="D191"/>
  </rcc>
  <rcc rId="2923" sId="3">
    <oc r="F191" t="inlineStr">
      <is>
        <t>340-ТМ/16 от 23.12.216</t>
      </is>
    </oc>
    <nc r="F191"/>
  </rcc>
  <rcc rId="2924" sId="3">
    <oc r="G191">
      <f>0.125083*1000</f>
    </oc>
    <nc r="G191"/>
  </rcc>
  <rcc rId="2925" sId="3">
    <oc r="A192">
      <v>184</v>
    </oc>
    <nc r="A192"/>
  </rcc>
  <rcc rId="2926" sId="3">
    <oc r="B192" t="inlineStr">
      <is>
        <t>Капитальный ремонт трансформатора ТМ-560/6кВ в ТП-509</t>
      </is>
    </oc>
    <nc r="B192"/>
  </rcc>
  <rcc rId="2927" sId="3">
    <oc r="C192" t="inlineStr">
      <is>
        <t>Счет-фактура №915</t>
      </is>
    </oc>
    <nc r="C192"/>
  </rcc>
  <rcc rId="2928" sId="3">
    <oc r="D192">
      <v>5</v>
    </oc>
    <nc r="D192"/>
  </rcc>
  <rcc rId="2929" sId="3">
    <oc r="F192" t="inlineStr">
      <is>
        <t>294-ТМ/16 от 23.12.216</t>
      </is>
    </oc>
    <nc r="F192"/>
  </rcc>
  <rcc rId="2930" sId="3">
    <oc r="G192">
      <f>0.205199*1000</f>
    </oc>
    <nc r="G192"/>
  </rcc>
  <rcc rId="2931" sId="3">
    <oc r="A193">
      <v>185</v>
    </oc>
    <nc r="A193"/>
  </rcc>
  <rcc rId="2932" sId="3">
    <oc r="B193" t="inlineStr">
      <is>
        <t>Капитальный ремонт трансформатора 200/6кВ в ТП-429</t>
      </is>
    </oc>
    <nc r="B193"/>
  </rcc>
  <rcc rId="2933" sId="3">
    <oc r="C193" t="inlineStr">
      <is>
        <t>Счет-фактура №918</t>
      </is>
    </oc>
    <nc r="C193"/>
  </rcc>
  <rcc rId="2934" sId="3">
    <oc r="D193">
      <v>5</v>
    </oc>
    <nc r="D193"/>
  </rcc>
  <rcc rId="2935" sId="3">
    <oc r="F193" t="inlineStr">
      <is>
        <t>297-ТМ/16 от 23.12.216</t>
      </is>
    </oc>
    <nc r="F193"/>
  </rcc>
  <rcc rId="2936" sId="3">
    <oc r="G193">
      <f>0.157048*1000</f>
    </oc>
    <nc r="G193"/>
  </rcc>
  <rcc rId="2937" sId="3">
    <oc r="A194">
      <v>186</v>
    </oc>
    <nc r="A194"/>
  </rcc>
  <rcc rId="2938" sId="3">
    <oc r="B194" t="inlineStr">
      <is>
        <t>Капитальный ремонт трансформатора 250/6кВ в РП-16</t>
      </is>
    </oc>
    <nc r="B194"/>
  </rcc>
  <rcc rId="2939" sId="3">
    <oc r="C194" t="inlineStr">
      <is>
        <t>Счет-фактура №948</t>
      </is>
    </oc>
    <nc r="C194"/>
  </rcc>
  <rcc rId="2940" sId="3">
    <oc r="D194">
      <v>5</v>
    </oc>
    <nc r="D194"/>
  </rcc>
  <rcc rId="2941" sId="3">
    <oc r="F194" t="inlineStr">
      <is>
        <t>329-ТМ/16 от 23.12.216</t>
      </is>
    </oc>
    <nc r="F194"/>
  </rcc>
  <rcc rId="2942" sId="3">
    <oc r="G194">
      <f>0.157048*1000</f>
    </oc>
    <nc r="G194"/>
  </rcc>
  <rcc rId="2943" sId="3">
    <oc r="A195">
      <v>187</v>
    </oc>
    <nc r="A195"/>
  </rcc>
  <rcc rId="2944" sId="3">
    <oc r="B195" t="inlineStr">
      <is>
        <t>Капитальный ремонт трансформатора 250/6кВ в ТП-481</t>
      </is>
    </oc>
    <nc r="B195"/>
  </rcc>
  <rcc rId="2945" sId="3">
    <oc r="C195" t="inlineStr">
      <is>
        <t>Счет-фактура №924</t>
      </is>
    </oc>
    <nc r="C195"/>
  </rcc>
  <rcc rId="2946" sId="3">
    <oc r="D195">
      <v>5</v>
    </oc>
    <nc r="D195"/>
  </rcc>
  <rcc rId="2947" sId="3">
    <oc r="F195" t="inlineStr">
      <is>
        <t>303-ТМ/16 от 23.12.216</t>
      </is>
    </oc>
    <nc r="F195"/>
  </rcc>
  <rcc rId="2948" sId="3">
    <oc r="G195">
      <f>0.157048*1000</f>
    </oc>
    <nc r="G195"/>
  </rcc>
  <rcc rId="2949" sId="3">
    <oc r="A196">
      <v>188</v>
    </oc>
    <nc r="A196"/>
  </rcc>
  <rcc rId="2950" sId="3">
    <oc r="B196" t="inlineStr">
      <is>
        <t>Капитальный ремонт трансформатора 250/6кВ в ТП-117</t>
      </is>
    </oc>
    <nc r="B196"/>
  </rcc>
  <rcc rId="2951" sId="3">
    <oc r="C196" t="inlineStr">
      <is>
        <t>Счет-фактура №912</t>
      </is>
    </oc>
    <nc r="C196"/>
  </rcc>
  <rcc rId="2952" sId="3">
    <oc r="D196">
      <v>5</v>
    </oc>
    <nc r="D196"/>
  </rcc>
  <rcc rId="2953" sId="3">
    <oc r="F196" t="inlineStr">
      <is>
        <t>291-ТМ/16 от 23.12.216</t>
      </is>
    </oc>
    <nc r="F196"/>
  </rcc>
  <rcc rId="2954" sId="3">
    <oc r="G196">
      <f>0.157048*1000</f>
    </oc>
    <nc r="G196"/>
  </rcc>
  <rcc rId="2955" sId="3">
    <oc r="A197">
      <v>189</v>
    </oc>
    <nc r="A197"/>
  </rcc>
  <rcc rId="2956" sId="3">
    <oc r="B197" t="inlineStr">
      <is>
        <t>Капитальный ремонт трансформатора 250/6кВ в ТП-107</t>
      </is>
    </oc>
    <nc r="B197"/>
  </rcc>
  <rcc rId="2957" sId="3">
    <oc r="C197" t="inlineStr">
      <is>
        <t>Счет-фактура №913</t>
      </is>
    </oc>
    <nc r="C197"/>
  </rcc>
  <rcc rId="2958" sId="3">
    <oc r="D197">
      <v>5</v>
    </oc>
    <nc r="D197"/>
  </rcc>
  <rcc rId="2959" sId="3">
    <oc r="F197" t="inlineStr">
      <is>
        <t>292-ТМ/16 от 23.12.216</t>
      </is>
    </oc>
    <nc r="F197"/>
  </rcc>
  <rcc rId="2960" sId="3">
    <oc r="G197">
      <f>0.157048*1000</f>
    </oc>
    <nc r="G197"/>
  </rcc>
  <rcc rId="2961" sId="3">
    <oc r="A198">
      <v>190</v>
    </oc>
    <nc r="A198"/>
  </rcc>
  <rcc rId="2962" sId="3">
    <oc r="B198" t="inlineStr">
      <is>
        <t>Капитальный ремонт трансформатора 250/6кВ в ТП-429</t>
      </is>
    </oc>
    <nc r="B198"/>
  </rcc>
  <rcc rId="2963" sId="3">
    <oc r="C198" t="inlineStr">
      <is>
        <t>Счет-фактура №917</t>
      </is>
    </oc>
    <nc r="C198"/>
  </rcc>
  <rcc rId="2964" sId="3">
    <oc r="D198">
      <v>5</v>
    </oc>
    <nc r="D198"/>
  </rcc>
  <rcc rId="2965" sId="3">
    <oc r="F198" t="inlineStr">
      <is>
        <t>296-ТМ/16 от 23.12.216</t>
      </is>
    </oc>
    <nc r="F198"/>
  </rcc>
  <rcc rId="2966" sId="3">
    <oc r="G198">
      <f>0.157048*1000</f>
    </oc>
    <nc r="G198"/>
  </rcc>
  <rcc rId="2967" sId="3">
    <oc r="A199">
      <v>191</v>
    </oc>
    <nc r="A199"/>
  </rcc>
  <rcc rId="2968" sId="3">
    <oc r="B199" t="inlineStr">
      <is>
        <t>Капитальный ремонт трансформатора 400/6кВ в ТП-457</t>
      </is>
    </oc>
    <nc r="B199"/>
  </rcc>
  <rcc rId="2969" sId="3">
    <oc r="C199" t="inlineStr">
      <is>
        <t>Счет-фактура №919</t>
      </is>
    </oc>
    <nc r="C199"/>
  </rcc>
  <rcc rId="2970" sId="3">
    <oc r="D199">
      <v>5</v>
    </oc>
    <nc r="D199"/>
  </rcc>
  <rcc rId="2971" sId="3">
    <oc r="F199" t="inlineStr">
      <is>
        <t>298-ТМ/16 от 23.12.2015</t>
      </is>
    </oc>
    <nc r="F199"/>
  </rcc>
  <rcc rId="2972" sId="3">
    <oc r="G199">
      <f>0.157566*1000</f>
    </oc>
    <nc r="G199"/>
  </rcc>
  <rcc rId="2973" sId="3">
    <oc r="A200">
      <v>192</v>
    </oc>
    <nc r="A200"/>
  </rcc>
  <rcc rId="2974" sId="3">
    <oc r="B200" t="inlineStr">
      <is>
        <t>Капитальный ремонт трансформатора 400/6кВ в ТП-150</t>
      </is>
    </oc>
    <nc r="B200"/>
  </rcc>
  <rcc rId="2975" sId="3">
    <oc r="C200" t="inlineStr">
      <is>
        <t>Счет-фактура №914</t>
      </is>
    </oc>
    <nc r="C200"/>
  </rcc>
  <rcc rId="2976" sId="3">
    <oc r="D200">
      <v>5</v>
    </oc>
    <nc r="D200"/>
  </rcc>
  <rcc rId="2977" sId="3">
    <oc r="F200" t="inlineStr">
      <is>
        <t>293-ТМ/16 от 23.12.2016</t>
      </is>
    </oc>
    <nc r="F200"/>
  </rcc>
  <rcc rId="2978" sId="3">
    <oc r="G200">
      <f>0.157566*1000</f>
    </oc>
    <nc r="G200"/>
  </rcc>
  <rcc rId="2979" sId="3">
    <oc r="A201">
      <v>193</v>
    </oc>
    <nc r="A201"/>
  </rcc>
  <rcc rId="2980" sId="3">
    <oc r="B201" t="inlineStr">
      <is>
        <t>Капитальный ремонт трансформатора 400/6кВ в ТП-27</t>
      </is>
    </oc>
    <nc r="B201"/>
  </rcc>
  <rcc rId="2981" sId="3">
    <oc r="C201" t="inlineStr">
      <is>
        <t>Счет-фактура №911</t>
      </is>
    </oc>
    <nc r="C201"/>
  </rcc>
  <rcc rId="2982" sId="3">
    <oc r="D201">
      <v>5</v>
    </oc>
    <nc r="D201"/>
  </rcc>
  <rcc rId="2983" sId="3">
    <oc r="F201" t="inlineStr">
      <is>
        <t>290-ТМ/16 от 23.12.2016</t>
      </is>
    </oc>
    <nc r="F201"/>
  </rcc>
  <rcc rId="2984" sId="3">
    <oc r="G201">
      <f>0.157566*1000</f>
    </oc>
    <nc r="G201"/>
  </rcc>
  <rcc rId="2985" sId="3">
    <oc r="A202">
      <v>194</v>
    </oc>
    <nc r="A202"/>
  </rcc>
  <rcc rId="2986" sId="3">
    <oc r="B202" t="inlineStr">
      <is>
        <t>Капитальный ремонт трансформатора 400/6кВ в ТП-199</t>
      </is>
    </oc>
    <nc r="B202"/>
  </rcc>
  <rcc rId="2987" sId="3">
    <oc r="C202" t="inlineStr">
      <is>
        <t>Счет-фактура №916</t>
      </is>
    </oc>
    <nc r="C202"/>
  </rcc>
  <rcc rId="2988" sId="3">
    <oc r="D202">
      <v>5</v>
    </oc>
    <nc r="D202"/>
  </rcc>
  <rcc rId="2989" sId="3">
    <oc r="F202" t="inlineStr">
      <is>
        <t>295-ТМ/16 от 23.12.2016</t>
      </is>
    </oc>
    <nc r="F202"/>
  </rcc>
  <rcc rId="2990" sId="3">
    <oc r="G202">
      <f>0.157566*1000</f>
    </oc>
    <nc r="G202"/>
  </rcc>
  <rcc rId="2991" sId="3">
    <oc r="A203">
      <v>195</v>
    </oc>
    <nc r="A203"/>
  </rcc>
  <rcc rId="2992" sId="3">
    <oc r="B203" t="inlineStr">
      <is>
        <t>Капитальный ремонт трансформатора 400/6кВ в ТП-438</t>
      </is>
    </oc>
    <nc r="B203"/>
  </rcc>
  <rcc rId="2993" sId="3">
    <oc r="C203" t="inlineStr">
      <is>
        <t>Счет-фактура №920</t>
      </is>
    </oc>
    <nc r="C203"/>
  </rcc>
  <rcc rId="2994" sId="3">
    <oc r="D203">
      <v>5</v>
    </oc>
    <nc r="D203"/>
  </rcc>
  <rcc rId="2995" sId="3">
    <oc r="F203" t="inlineStr">
      <is>
        <t>299-ТМ/16 от 23.12.2016</t>
      </is>
    </oc>
    <nc r="F203"/>
  </rcc>
  <rcc rId="2996" sId="3">
    <oc r="G203">
      <f>0.157566*1000</f>
    </oc>
    <nc r="G203"/>
  </rcc>
  <rcc rId="2997" sId="3">
    <oc r="A204">
      <v>196</v>
    </oc>
    <nc r="A204"/>
  </rcc>
  <rcc rId="2998" sId="3">
    <oc r="B204" t="inlineStr">
      <is>
        <t>Капитальный ремонт трансформатора 400/6кВ в ТП-289</t>
      </is>
    </oc>
    <nc r="B204"/>
  </rcc>
  <rcc rId="2999" sId="3">
    <oc r="C204" t="inlineStr">
      <is>
        <t>Счет-фактура №921</t>
      </is>
    </oc>
    <nc r="C204"/>
  </rcc>
  <rcc rId="3000" sId="3">
    <oc r="D204">
      <v>5</v>
    </oc>
    <nc r="D204"/>
  </rcc>
  <rcc rId="3001" sId="3">
    <oc r="F204" t="inlineStr">
      <is>
        <t>300-ТМ/16 от 23.12.2016</t>
      </is>
    </oc>
    <nc r="F204"/>
  </rcc>
  <rcc rId="3002" sId="3">
    <oc r="G204">
      <f>0.157566*1000</f>
    </oc>
    <nc r="G204"/>
  </rcc>
  <rcc rId="3003" sId="3">
    <oc r="A205">
      <v>197</v>
    </oc>
    <nc r="A205"/>
  </rcc>
  <rcc rId="3004" sId="3">
    <oc r="B205" t="inlineStr">
      <is>
        <t>Капитальный ремонт трансформатора 400/6кВ в ТП-487</t>
      </is>
    </oc>
    <nc r="B205"/>
  </rcc>
  <rcc rId="3005" sId="3">
    <oc r="C205" t="inlineStr">
      <is>
        <t>Счет-фактура №923</t>
      </is>
    </oc>
    <nc r="C205"/>
  </rcc>
  <rcc rId="3006" sId="3">
    <oc r="D205">
      <v>5</v>
    </oc>
    <nc r="D205"/>
  </rcc>
  <rcc rId="3007" sId="3">
    <oc r="F205" t="inlineStr">
      <is>
        <t>302-ТМ/16 от 23.12.2016</t>
      </is>
    </oc>
    <nc r="F205"/>
  </rcc>
  <rcc rId="3008" sId="3">
    <oc r="G205">
      <f>0.157566*1000</f>
    </oc>
    <nc r="G205"/>
  </rcc>
  <rcc rId="3009" sId="3">
    <oc r="A206">
      <v>198</v>
    </oc>
    <nc r="A206"/>
  </rcc>
  <rcc rId="3010" sId="3">
    <oc r="B206" t="inlineStr">
      <is>
        <t>Капитальный ремонт трансформатора 400/6кВ в ТП-432</t>
      </is>
    </oc>
    <nc r="B206"/>
  </rcc>
  <rcc rId="3011" sId="3">
    <oc r="C206" t="inlineStr">
      <is>
        <t>Счет-фактура №926</t>
      </is>
    </oc>
    <nc r="C206"/>
  </rcc>
  <rcc rId="3012" sId="3">
    <oc r="D206">
      <v>5</v>
    </oc>
    <nc r="D206"/>
  </rcc>
  <rcc rId="3013" sId="3">
    <oc r="F206" t="inlineStr">
      <is>
        <t>305-ТМ/16 от 23.12.2016</t>
      </is>
    </oc>
    <nc r="F206"/>
  </rcc>
  <rcc rId="3014" sId="3">
    <oc r="G206">
      <f>0.157566*1000</f>
    </oc>
    <nc r="G206"/>
  </rcc>
  <rcc rId="3015" sId="3">
    <oc r="A207">
      <v>199</v>
    </oc>
    <nc r="A207"/>
  </rcc>
  <rcc rId="3016" sId="3">
    <oc r="B207" t="inlineStr">
      <is>
        <t>Капитальный ремонт трансформатора 400/6кВ в ТП-275</t>
      </is>
    </oc>
    <nc r="B207"/>
  </rcc>
  <rcc rId="3017" sId="3">
    <oc r="C207" t="inlineStr">
      <is>
        <t>Счет-фактура №925</t>
      </is>
    </oc>
    <nc r="C207"/>
  </rcc>
  <rcc rId="3018" sId="3">
    <oc r="D207">
      <v>5</v>
    </oc>
    <nc r="D207"/>
  </rcc>
  <rcc rId="3019" sId="3">
    <oc r="F207" t="inlineStr">
      <is>
        <t>304-ТМ/16 от 23.12.2016</t>
      </is>
    </oc>
    <nc r="F207"/>
  </rcc>
  <rcc rId="3020" sId="3">
    <oc r="G207">
      <f>0.157566*1000</f>
    </oc>
    <nc r="G207"/>
  </rcc>
  <rcc rId="3021" sId="3">
    <oc r="A208">
      <v>200</v>
    </oc>
    <nc r="A208"/>
  </rcc>
  <rcc rId="3022" sId="3">
    <oc r="B208" t="inlineStr">
      <is>
        <t>Капитальный ремонт трансформатора 400/6кВ в ТП-474</t>
      </is>
    </oc>
    <nc r="B208"/>
  </rcc>
  <rcc rId="3023" sId="3">
    <oc r="C208" t="inlineStr">
      <is>
        <t>Счет-фактура №929</t>
      </is>
    </oc>
    <nc r="C208"/>
  </rcc>
  <rcc rId="3024" sId="3">
    <oc r="D208">
      <v>5</v>
    </oc>
    <nc r="D208"/>
  </rcc>
  <rcc rId="3025" sId="3">
    <oc r="F208" t="inlineStr">
      <is>
        <t>308-ТМ/16 от 23.12.2016</t>
      </is>
    </oc>
    <nc r="F208"/>
  </rcc>
  <rcc rId="3026" sId="3">
    <oc r="G208">
      <f>0.157189*1000</f>
    </oc>
    <nc r="G208"/>
  </rcc>
  <rcc rId="3027" sId="3">
    <oc r="A209">
      <v>201</v>
    </oc>
    <nc r="A209"/>
  </rcc>
  <rcc rId="3028" sId="3">
    <oc r="B209" t="inlineStr">
      <is>
        <t>Капитальный ремонт трансформатора 400/6кВ в ТП-476</t>
      </is>
    </oc>
    <nc r="B209"/>
  </rcc>
  <rcc rId="3029" sId="3">
    <oc r="C209" t="inlineStr">
      <is>
        <t>Счет-фактура №928</t>
      </is>
    </oc>
    <nc r="C209"/>
  </rcc>
  <rcc rId="3030" sId="3">
    <oc r="D209">
      <v>5</v>
    </oc>
    <nc r="D209"/>
  </rcc>
  <rcc rId="3031" sId="3">
    <oc r="F209" t="inlineStr">
      <is>
        <t>307-ТМ/16 от 23.12.2016</t>
      </is>
    </oc>
    <nc r="F209"/>
  </rcc>
  <rcc rId="3032" sId="3">
    <oc r="G209">
      <f>0.157566*1000</f>
    </oc>
    <nc r="G209"/>
  </rcc>
  <rcc rId="3033" sId="3">
    <oc r="A210">
      <v>202</v>
    </oc>
    <nc r="A210"/>
  </rcc>
  <rcc rId="3034" sId="3">
    <oc r="B210" t="inlineStr">
      <is>
        <t>Капитальный ремонт трансформатора 400/6кВ в ТП-478</t>
      </is>
    </oc>
    <nc r="B210"/>
  </rcc>
  <rcc rId="3035" sId="3">
    <oc r="C210" t="inlineStr">
      <is>
        <t>Счет-фактура №927</t>
      </is>
    </oc>
    <nc r="C210"/>
  </rcc>
  <rcc rId="3036" sId="3">
    <oc r="D210">
      <v>5</v>
    </oc>
    <nc r="D210"/>
  </rcc>
  <rcc rId="3037" sId="3">
    <oc r="F210" t="inlineStr">
      <is>
        <t>306-ТМ/16 от 23.12.2016</t>
      </is>
    </oc>
    <nc r="F210"/>
  </rcc>
  <rcc rId="3038" sId="3">
    <oc r="G210">
      <f>0.157566*1000</f>
    </oc>
    <nc r="G210"/>
  </rcc>
  <rcc rId="3039" sId="3">
    <oc r="A211">
      <v>203</v>
    </oc>
    <nc r="A211"/>
  </rcc>
  <rcc rId="3040" sId="3">
    <oc r="B211" t="inlineStr">
      <is>
        <t>Капитальный ремонт трансформатора 400/6кВ в ТП-656</t>
      </is>
    </oc>
    <nc r="B211"/>
  </rcc>
  <rcc rId="3041" sId="3">
    <oc r="C211" t="inlineStr">
      <is>
        <t>Счет-фактура №930</t>
      </is>
    </oc>
    <nc r="C211"/>
  </rcc>
  <rcc rId="3042" sId="3">
    <oc r="D211">
      <v>5</v>
    </oc>
    <nc r="D211"/>
  </rcc>
  <rcc rId="3043" sId="3">
    <oc r="F211" t="inlineStr">
      <is>
        <t>309-ТМ/16 от 23.12.2016</t>
      </is>
    </oc>
    <nc r="F211"/>
  </rcc>
  <rcc rId="3044" sId="3">
    <oc r="G211">
      <f>0.157566*1000</f>
    </oc>
    <nc r="G211"/>
  </rcc>
  <rcc rId="3045" sId="3">
    <oc r="A212">
      <v>204</v>
    </oc>
    <nc r="A212"/>
  </rcc>
  <rcc rId="3046" sId="3">
    <oc r="B212" t="inlineStr">
      <is>
        <t>Капитальный ремонт трансформатора 400/6кВ в ТП-322</t>
      </is>
    </oc>
    <nc r="B212"/>
  </rcc>
  <rcc rId="3047" sId="3">
    <oc r="C212" t="inlineStr">
      <is>
        <t>Счет-фактура №933</t>
      </is>
    </oc>
    <nc r="C212"/>
  </rcc>
  <rcc rId="3048" sId="3">
    <oc r="D212">
      <v>5</v>
    </oc>
    <nc r="D212"/>
  </rcc>
  <rcc rId="3049" sId="3">
    <oc r="F212" t="inlineStr">
      <is>
        <t>312-ТМ/16 от 23.12.2016</t>
      </is>
    </oc>
    <nc r="F212"/>
  </rcc>
  <rcc rId="3050" sId="3">
    <oc r="G212">
      <f>0.157189*1000</f>
    </oc>
    <nc r="G212"/>
  </rcc>
  <rcc rId="3051" sId="3">
    <oc r="A213">
      <v>205</v>
    </oc>
    <nc r="A213"/>
  </rcc>
  <rcc rId="3052" sId="3">
    <oc r="B213" t="inlineStr">
      <is>
        <t>Капитальный ремонт трансформатора 400/6кВ в ТП-220</t>
      </is>
    </oc>
    <nc r="B213"/>
  </rcc>
  <rcc rId="3053" sId="3">
    <oc r="C213" t="inlineStr">
      <is>
        <t>Счет-фактура №934</t>
      </is>
    </oc>
    <nc r="C213"/>
  </rcc>
  <rcc rId="3054" sId="3">
    <oc r="D213">
      <v>4</v>
    </oc>
    <nc r="D213"/>
  </rcc>
  <rcc rId="3055" sId="3">
    <oc r="F213" t="inlineStr">
      <is>
        <t>313-ТМ/16 от 23.12.2016</t>
      </is>
    </oc>
    <nc r="F213"/>
  </rcc>
  <rcc rId="3056" sId="3">
    <oc r="G213">
      <f>0.157189*1000</f>
    </oc>
    <nc r="G213"/>
  </rcc>
  <rcc rId="3057" sId="3">
    <oc r="A214">
      <v>206</v>
    </oc>
    <nc r="A214"/>
  </rcc>
  <rcc rId="3058" sId="3">
    <oc r="B214" t="inlineStr">
      <is>
        <t>Капитальный ремонт трансформатора 400/6кВ в ТП-406</t>
      </is>
    </oc>
    <nc r="B214"/>
  </rcc>
  <rcc rId="3059" sId="3">
    <oc r="C214" t="inlineStr">
      <is>
        <t>Счет-фактура №940</t>
      </is>
    </oc>
    <nc r="C214"/>
  </rcc>
  <rcc rId="3060" sId="3">
    <oc r="D214">
      <v>5</v>
    </oc>
    <nc r="D214"/>
  </rcc>
  <rcc rId="3061" sId="3">
    <oc r="F214" t="inlineStr">
      <is>
        <t>320-ТМ/16 от 23.12.2016</t>
      </is>
    </oc>
    <nc r="F214"/>
  </rcc>
  <rcc rId="3062" sId="3">
    <oc r="G214">
      <f>0.157189*1000</f>
    </oc>
    <nc r="G214"/>
  </rcc>
  <rcc rId="3063" sId="3">
    <oc r="A215">
      <v>207</v>
    </oc>
    <nc r="A215"/>
  </rcc>
  <rcc rId="3064" sId="3">
    <oc r="B215" t="inlineStr">
      <is>
        <t>Капитальный ремонт трансформатора 400/6кВ в ТП-692</t>
      </is>
    </oc>
    <nc r="B215"/>
  </rcc>
  <rcc rId="3065" sId="3">
    <oc r="C215" t="inlineStr">
      <is>
        <t>Счет-фактура №942</t>
      </is>
    </oc>
    <nc r="C215"/>
  </rcc>
  <rcc rId="3066" sId="3">
    <oc r="D215">
      <v>5</v>
    </oc>
    <nc r="D215"/>
  </rcc>
  <rcc rId="3067" sId="3">
    <oc r="F215" t="inlineStr">
      <is>
        <t>322-ТМ/16 от 23.12.2016</t>
      </is>
    </oc>
    <nc r="F215"/>
  </rcc>
  <rcc rId="3068" sId="3">
    <oc r="G215">
      <f>0.157189*1000</f>
    </oc>
    <nc r="G215"/>
  </rcc>
  <rcc rId="3069" sId="3">
    <oc r="A216">
      <v>208</v>
    </oc>
    <nc r="A216"/>
  </rcc>
  <rcc rId="3070" sId="3">
    <oc r="B216" t="inlineStr">
      <is>
        <t>Капитальный ремонт трансформатора 400/6кВ в ТП-323</t>
      </is>
    </oc>
    <nc r="B216"/>
  </rcc>
  <rcc rId="3071" sId="3">
    <oc r="C216" t="inlineStr">
      <is>
        <t>Счет-фактура №954</t>
      </is>
    </oc>
    <nc r="C216"/>
  </rcc>
  <rcc rId="3072" sId="3">
    <oc r="D216">
      <v>5</v>
    </oc>
    <nc r="D216"/>
  </rcc>
  <rcc rId="3073" sId="3">
    <oc r="F216" t="inlineStr">
      <is>
        <t>336-ТМ/16 от 23.12.2016</t>
      </is>
    </oc>
    <nc r="F216"/>
  </rcc>
  <rcc rId="3074" sId="3">
    <oc r="G216">
      <f>0.157189*1000</f>
    </oc>
    <nc r="G216"/>
  </rcc>
  <rcc rId="3075" sId="3">
    <oc r="A217">
      <v>209</v>
    </oc>
    <nc r="A217"/>
  </rcc>
  <rcc rId="3076" sId="3">
    <oc r="B217" t="inlineStr">
      <is>
        <t>Капитальный ремонт трансформатора 400/6кВ в ТП-421</t>
      </is>
    </oc>
    <nc r="B217"/>
  </rcc>
  <rcc rId="3077" sId="3">
    <oc r="C217" t="inlineStr">
      <is>
        <t>Счет-фактура №951</t>
      </is>
    </oc>
    <nc r="C217"/>
  </rcc>
  <rcc rId="3078" sId="3">
    <oc r="D217">
      <v>5</v>
    </oc>
    <nc r="D217"/>
  </rcc>
  <rcc rId="3079" sId="3">
    <oc r="F217" t="inlineStr">
      <is>
        <t>332-ТМ/16 от 23.12.2016</t>
      </is>
    </oc>
    <nc r="F217"/>
  </rcc>
  <rcc rId="3080" sId="3">
    <oc r="G217">
      <f>0.157189*1000</f>
    </oc>
    <nc r="G217"/>
  </rcc>
  <rcc rId="3081" sId="3">
    <oc r="A218">
      <v>210</v>
    </oc>
    <nc r="A218"/>
  </rcc>
  <rcc rId="3082" sId="3">
    <oc r="B218" t="inlineStr">
      <is>
        <t>Капитальный ремонт трансформатора 400/6кВ в ТП-284</t>
      </is>
    </oc>
    <nc r="B218"/>
  </rcc>
  <rcc rId="3083" sId="3">
    <oc r="C218" t="inlineStr">
      <is>
        <t>Счет-фактура №955</t>
      </is>
    </oc>
    <nc r="C218"/>
  </rcc>
  <rcc rId="3084" sId="3">
    <oc r="D218">
      <v>5</v>
    </oc>
    <nc r="D218"/>
  </rcc>
  <rcc rId="3085" sId="3">
    <oc r="F218" t="inlineStr">
      <is>
        <t>337-ТМ/16 от 23.12.2016</t>
      </is>
    </oc>
    <nc r="F218"/>
  </rcc>
  <rcc rId="3086" sId="3">
    <oc r="G218">
      <f>0.157189*1000</f>
    </oc>
    <nc r="G218"/>
  </rcc>
  <rcc rId="3087" sId="3">
    <oc r="A219">
      <v>211</v>
    </oc>
    <nc r="A219"/>
  </rcc>
  <rcc rId="3088" sId="3">
    <oc r="B219" t="inlineStr">
      <is>
        <t>Капитальный ремонт трансформатора 400/6кВ в ТП-626</t>
      </is>
    </oc>
    <nc r="B219"/>
  </rcc>
  <rcc rId="3089" sId="3">
    <oc r="C219" t="inlineStr">
      <is>
        <t>Счет-фактура №957</t>
      </is>
    </oc>
    <nc r="C219"/>
  </rcc>
  <rcc rId="3090" sId="3">
    <oc r="D219">
      <v>5</v>
    </oc>
    <nc r="D219"/>
  </rcc>
  <rcc rId="3091" sId="3">
    <oc r="F219" t="inlineStr">
      <is>
        <t>339-ТМ/16 от 23.12.2016</t>
      </is>
    </oc>
    <nc r="F219"/>
  </rcc>
  <rcc rId="3092" sId="3">
    <oc r="G219">
      <f>0.157189*1000</f>
    </oc>
    <nc r="G219"/>
  </rcc>
  <rcc rId="3093" sId="3">
    <oc r="A220">
      <v>212</v>
    </oc>
    <nc r="A220"/>
  </rcc>
  <rcc rId="3094" sId="3">
    <oc r="B220" t="inlineStr">
      <is>
        <t>Капитальный ремонт трансформатора 320/10кВ в ТП-336</t>
      </is>
    </oc>
    <nc r="B220"/>
  </rcc>
  <rcc rId="3095" sId="3">
    <oc r="C220" t="inlineStr">
      <is>
        <t>Счет-фактура №945</t>
      </is>
    </oc>
    <nc r="C220"/>
  </rcc>
  <rcc rId="3096" sId="3">
    <oc r="D220">
      <v>5</v>
    </oc>
    <nc r="D220"/>
  </rcc>
  <rcc rId="3097" sId="3">
    <oc r="F220" t="inlineStr">
      <is>
        <t>325-ТМ/16 от 23.12.2016</t>
      </is>
    </oc>
    <nc r="F220"/>
  </rcc>
  <rcc rId="3098" sId="3">
    <oc r="G220">
      <f>0.148733*1000</f>
    </oc>
    <nc r="G220"/>
  </rcc>
  <rcc rId="3099" sId="3">
    <oc r="A221">
      <v>213</v>
    </oc>
    <nc r="A221"/>
  </rcc>
  <rcc rId="3100" sId="3">
    <oc r="B221" t="inlineStr">
      <is>
        <t>Капитальный ремонт трансформатора 400/6кВ в ТП-200</t>
      </is>
    </oc>
    <nc r="B221"/>
  </rcc>
  <rcc rId="3101" sId="3">
    <oc r="C221" t="inlineStr">
      <is>
        <t>Счет-фактура №959</t>
      </is>
    </oc>
    <nc r="C221"/>
  </rcc>
  <rcc rId="3102" sId="3">
    <oc r="D221">
      <v>5</v>
    </oc>
    <nc r="D221"/>
  </rcc>
  <rcc rId="3103" sId="3">
    <oc r="F221" t="inlineStr">
      <is>
        <t>341-ТМ/16 от 23.12.2016</t>
      </is>
    </oc>
    <nc r="F221"/>
  </rcc>
  <rcc rId="3104" sId="3">
    <oc r="G221">
      <f>0.157189*1000</f>
    </oc>
    <nc r="G221"/>
  </rcc>
  <rcc rId="3105" sId="3">
    <oc r="A222">
      <v>214</v>
    </oc>
    <nc r="A222"/>
  </rcc>
  <rcc rId="3106" sId="3">
    <oc r="B222" t="inlineStr">
      <is>
        <t>Капитальный ремонт трансформатора 400/6кВ в ТП-466</t>
      </is>
    </oc>
    <nc r="B222"/>
  </rcc>
  <rcc rId="3107" sId="3">
    <oc r="C222" t="inlineStr">
      <is>
        <t>Счет-фактура №960</t>
      </is>
    </oc>
    <nc r="C222"/>
  </rcc>
  <rcc rId="3108" sId="3">
    <oc r="D222">
      <v>5</v>
    </oc>
    <nc r="D222"/>
  </rcc>
  <rcc rId="3109" sId="3">
    <oc r="F222" t="inlineStr">
      <is>
        <t>342-ТМ/16 от 23.12.2016</t>
      </is>
    </oc>
    <nc r="F222"/>
  </rcc>
  <rcc rId="3110" sId="3">
    <oc r="G222">
      <f>0.157189*1000</f>
    </oc>
    <nc r="G222"/>
  </rcc>
  <rcc rId="3111" sId="3">
    <oc r="A223">
      <v>215</v>
    </oc>
    <nc r="A223"/>
  </rcc>
  <rcc rId="3112" sId="3">
    <oc r="B223" t="inlineStr">
      <is>
        <t>Капитальный ремонт трансформатора 320/6кВ в ТП-215</t>
      </is>
    </oc>
    <nc r="B223"/>
  </rcc>
  <rcc rId="3113" sId="3">
    <oc r="C223" t="inlineStr">
      <is>
        <t>Счет-фактура №922</t>
      </is>
    </oc>
    <nc r="C223"/>
  </rcc>
  <rcc rId="3114" sId="3">
    <oc r="D223">
      <v>5</v>
    </oc>
    <nc r="D223"/>
  </rcc>
  <rcc rId="3115" sId="3">
    <oc r="F223" t="inlineStr">
      <is>
        <t>301-ТМ/16 от 23.12.2016</t>
      </is>
    </oc>
    <nc r="F223"/>
  </rcc>
  <rcc rId="3116" sId="3">
    <oc r="G223">
      <f>0.148733*1000</f>
    </oc>
    <nc r="G223"/>
  </rcc>
  <rcc rId="3117" sId="3">
    <oc r="A224">
      <v>216</v>
    </oc>
    <nc r="A224"/>
  </rcc>
  <rcc rId="3118" sId="3">
    <oc r="B224" t="inlineStr">
      <is>
        <t>Капитальный ремонт трансформатора 320/6кВ в ТП-188</t>
      </is>
    </oc>
    <nc r="B224"/>
  </rcc>
  <rcc rId="3119" sId="3">
    <oc r="C224" t="inlineStr">
      <is>
        <t>Счет-фактура №943</t>
      </is>
    </oc>
    <nc r="C224"/>
  </rcc>
  <rcc rId="3120" sId="3">
    <oc r="D224">
      <v>5</v>
    </oc>
    <nc r="D224"/>
  </rcc>
  <rcc rId="3121" sId="3">
    <oc r="F224" t="inlineStr">
      <is>
        <t>323-ТМ/16 от 23.12.2016</t>
      </is>
    </oc>
    <nc r="F224"/>
  </rcc>
  <rcc rId="3122" sId="3">
    <oc r="G224">
      <f>0.148733*1000</f>
    </oc>
    <nc r="G224"/>
  </rcc>
  <rcc rId="3123" sId="3">
    <oc r="A225">
      <v>217</v>
    </oc>
    <nc r="A225"/>
  </rcc>
  <rcc rId="3124" sId="3">
    <oc r="B225" t="inlineStr">
      <is>
        <t>Капитальный ремонт трансформатора 320/6кВ в ТП-444</t>
      </is>
    </oc>
    <nc r="B225"/>
  </rcc>
  <rcc rId="3125" sId="3">
    <oc r="C225" t="inlineStr">
      <is>
        <t>Счет-фактура №944</t>
      </is>
    </oc>
    <nc r="C225"/>
  </rcc>
  <rcc rId="3126" sId="3">
    <oc r="D225">
      <v>5</v>
    </oc>
    <nc r="D225"/>
  </rcc>
  <rcc rId="3127" sId="3">
    <oc r="F225" t="inlineStr">
      <is>
        <t>324-ТМ/16 от 23.12.2016</t>
      </is>
    </oc>
    <nc r="F225"/>
  </rcc>
  <rcc rId="3128" sId="3">
    <oc r="G225">
      <f>0.148733*1000</f>
    </oc>
    <nc r="G225"/>
  </rcc>
  <rcc rId="3129" sId="3">
    <oc r="A226">
      <v>218</v>
    </oc>
    <nc r="A226"/>
  </rcc>
  <rcc rId="3130" sId="3">
    <oc r="B226" t="inlineStr">
      <is>
        <t>Капитальный ремонт трансформатора 630/6кВ в ТП-474</t>
      </is>
    </oc>
    <nc r="B226"/>
  </rcc>
  <rcc rId="3131" sId="3">
    <oc r="C226" t="inlineStr">
      <is>
        <t>Счет-фактура №931</t>
      </is>
    </oc>
    <nc r="C226"/>
  </rcc>
  <rcc rId="3132" sId="3">
    <oc r="D226">
      <v>5</v>
    </oc>
    <nc r="D226"/>
  </rcc>
  <rcc rId="3133" sId="3">
    <oc r="F226" t="inlineStr">
      <is>
        <t>310-ТМ/16 от 23.12.2016</t>
      </is>
    </oc>
    <nc r="F226"/>
  </rcc>
  <rcc rId="3134" sId="3">
    <oc r="G226">
      <f>0.179794*1000</f>
    </oc>
    <nc r="G226"/>
  </rcc>
  <rcc rId="3135" sId="3">
    <oc r="A227">
      <v>219</v>
    </oc>
    <nc r="A227"/>
  </rcc>
  <rcc rId="3136" sId="3">
    <oc r="B227" t="inlineStr">
      <is>
        <t>Капитальный ремонт трансформатора 630/10кВ в ТП-866</t>
      </is>
    </oc>
    <nc r="B227"/>
  </rcc>
  <rcc rId="3137" sId="3">
    <oc r="C227" t="inlineStr">
      <is>
        <t>Счет-фактура №939</t>
      </is>
    </oc>
    <nc r="C227"/>
  </rcc>
  <rcc rId="3138" sId="3">
    <oc r="D227">
      <v>5</v>
    </oc>
    <nc r="D227"/>
  </rcc>
  <rcc rId="3139" sId="3">
    <oc r="F227" t="inlineStr">
      <is>
        <t>318-ТМ/16 от 23.12.2016</t>
      </is>
    </oc>
    <nc r="F227"/>
  </rcc>
  <rcc rId="3140" sId="3">
    <oc r="G227">
      <f>0.179794*1000</f>
    </oc>
    <nc r="G227"/>
  </rcc>
  <rcc rId="3141" sId="3">
    <oc r="A228">
      <v>220</v>
    </oc>
    <nc r="A228"/>
  </rcc>
  <rcc rId="3142" sId="3">
    <oc r="B228" t="inlineStr">
      <is>
        <t>Капитальный ремонт трансформатора 630/10кВ в ТП-345</t>
      </is>
    </oc>
    <nc r="B228"/>
  </rcc>
  <rcc rId="3143" sId="3">
    <oc r="C228" t="inlineStr">
      <is>
        <t>Счет-фактура №946</t>
      </is>
    </oc>
    <nc r="C228"/>
  </rcc>
  <rcc rId="3144" sId="3">
    <oc r="D228">
      <v>5</v>
    </oc>
    <nc r="D228"/>
  </rcc>
  <rcc rId="3145" sId="3">
    <oc r="F228" t="inlineStr">
      <is>
        <t>326-ТМ/16 от 23.12.2016</t>
      </is>
    </oc>
    <nc r="F228"/>
  </rcc>
  <rcc rId="3146" sId="3">
    <oc r="G228">
      <f>0.179794*1000</f>
    </oc>
    <nc r="G228"/>
  </rcc>
  <rcc rId="3147" sId="3">
    <oc r="A229">
      <v>221</v>
    </oc>
    <nc r="A229"/>
  </rcc>
  <rcc rId="3148" sId="3">
    <oc r="B229" t="inlineStr">
      <is>
        <t>Капитальный ремонт трансформатора 630/10кВ в ТП-608</t>
      </is>
    </oc>
    <nc r="B229"/>
  </rcc>
  <rcc rId="3149" sId="3">
    <oc r="C229" t="inlineStr">
      <is>
        <t>Счет-фактура №952</t>
      </is>
    </oc>
    <nc r="C229"/>
  </rcc>
  <rcc rId="3150" sId="3">
    <oc r="D229">
      <v>5</v>
    </oc>
    <nc r="D229"/>
  </rcc>
  <rcc rId="3151" sId="3">
    <oc r="F229" t="inlineStr">
      <is>
        <t>334-ТМ/16 от 23.12.2016</t>
      </is>
    </oc>
    <nc r="F229"/>
  </rcc>
  <rcc rId="3152" sId="3">
    <oc r="G229">
      <f>0.179794*1000</f>
    </oc>
    <nc r="G229"/>
  </rcc>
  <rcc rId="3153" sId="3">
    <oc r="A230">
      <v>222</v>
    </oc>
    <nc r="A230"/>
  </rcc>
  <rcc rId="3154" sId="3">
    <oc r="B230" t="inlineStr">
      <is>
        <t>Капитальный ремонт трансформатора 630/6кВ в ТП-813</t>
      </is>
    </oc>
    <nc r="B230"/>
  </rcc>
  <rcc rId="3155" sId="3">
    <oc r="C230" t="inlineStr">
      <is>
        <t>Счет-фактура №953</t>
      </is>
    </oc>
    <nc r="C230"/>
  </rcc>
  <rcc rId="3156" sId="3">
    <oc r="D230">
      <v>5</v>
    </oc>
    <nc r="D230"/>
  </rcc>
  <rcc rId="3157" sId="3">
    <oc r="F230" t="inlineStr">
      <is>
        <t>335-ТМ/16 от 23.12.2016</t>
      </is>
    </oc>
    <nc r="F230"/>
  </rcc>
  <rcc rId="3158" sId="3">
    <oc r="G230">
      <f>0.179794*1000</f>
    </oc>
    <nc r="G230"/>
  </rcc>
  <rcc rId="3159" sId="3">
    <oc r="A231">
      <v>223</v>
    </oc>
    <nc r="A231"/>
  </rcc>
  <rcc rId="3160" sId="3">
    <oc r="B231" t="inlineStr">
      <is>
        <t>Капитальный ремонт двух трансформаторов 2ТМ 400/6кВ в ТП-622</t>
      </is>
    </oc>
    <nc r="B231"/>
  </rcc>
  <rcc rId="3161" sId="3">
    <oc r="C231" t="inlineStr">
      <is>
        <t>Счет-фактура №961</t>
      </is>
    </oc>
    <nc r="C231"/>
  </rcc>
  <rcc rId="3162" sId="3">
    <oc r="D231">
      <v>5</v>
    </oc>
    <nc r="D231"/>
  </rcc>
  <rcc rId="3163" sId="3">
    <oc r="F231" t="inlineStr">
      <is>
        <t>315-ТМ/16 от 23.12.2016</t>
      </is>
    </oc>
    <nc r="F231"/>
  </rcc>
  <rcc rId="3164" sId="3">
    <oc r="G231">
      <f>0.315133*1000</f>
    </oc>
    <nc r="G231"/>
  </rcc>
  <rcc rId="3165" sId="3">
    <oc r="A232">
      <v>224</v>
    </oc>
    <nc r="A232"/>
  </rcc>
  <rcc rId="3166" sId="3">
    <oc r="B232" t="inlineStr">
      <is>
        <t>Капитальный ремонт двух трансформаторов 2ТМ 400/6кВ в ТП-472</t>
      </is>
    </oc>
    <nc r="B232"/>
  </rcc>
  <rcc rId="3167" sId="3">
    <oc r="C232" t="inlineStr">
      <is>
        <t>Счет-фактура №962</t>
      </is>
    </oc>
    <nc r="C232"/>
  </rcc>
  <rcc rId="3168" sId="3">
    <oc r="D232">
      <v>5</v>
    </oc>
    <nc r="D232"/>
  </rcc>
  <rcc rId="3169" sId="3">
    <oc r="F232" t="inlineStr">
      <is>
        <t>317-ТМ/16 от 23.12.2016</t>
      </is>
    </oc>
    <nc r="F232"/>
  </rcc>
  <rcc rId="3170" sId="3">
    <oc r="G232">
      <f>0.315133*1000</f>
    </oc>
    <nc r="G232"/>
  </rcc>
  <rcc rId="3171" sId="3">
    <oc r="A233">
      <v>225</v>
    </oc>
    <nc r="A233"/>
  </rcc>
  <rcc rId="3172" sId="3">
    <oc r="B233" t="inlineStr">
      <is>
        <t>Капитальный ремонт двух трансформаторов 2ТМ 400/10кВ в ТП-834</t>
      </is>
    </oc>
    <nc r="B233"/>
  </rcc>
  <rcc rId="3173" sId="3">
    <oc r="C233" t="inlineStr">
      <is>
        <t>Счет-фактура №963</t>
      </is>
    </oc>
    <nc r="C233"/>
  </rcc>
  <rcc rId="3174" sId="3">
    <oc r="D233">
      <v>5</v>
    </oc>
    <nc r="D233"/>
  </rcc>
  <rcc rId="3175" sId="3">
    <oc r="F233" t="inlineStr">
      <is>
        <t>319-ТМ/16 от 23.12.2016</t>
      </is>
    </oc>
    <nc r="F233"/>
  </rcc>
  <rcc rId="3176" sId="3">
    <oc r="G233">
      <f>0.315133*1000</f>
    </oc>
    <nc r="G233"/>
  </rcc>
  <rcc rId="3177" sId="3">
    <oc r="A234">
      <v>226</v>
    </oc>
    <nc r="A234"/>
  </rcc>
  <rcc rId="3178" sId="3">
    <oc r="B234" t="inlineStr">
      <is>
        <t>Капитальный ремонт двух трансформаторов 2ТМ 400/6кВ в ТП-600</t>
      </is>
    </oc>
    <nc r="B234"/>
  </rcc>
  <rcc rId="3179" sId="3">
    <oc r="C234" t="inlineStr">
      <is>
        <t>Счет-фактура №964</t>
      </is>
    </oc>
    <nc r="C234"/>
  </rcc>
  <rcc rId="3180" sId="3">
    <oc r="D234">
      <v>5</v>
    </oc>
    <nc r="D234"/>
  </rcc>
  <rcc rId="3181" sId="3">
    <oc r="F234" t="inlineStr">
      <is>
        <t>328-ТМ/16 от 23.12.2016</t>
      </is>
    </oc>
    <nc r="F234"/>
  </rcc>
  <rcc rId="3182" sId="3">
    <oc r="G234">
      <f>0.315133*1000</f>
    </oc>
    <nc r="G234"/>
  </rcc>
  <rcc rId="3183" sId="3">
    <oc r="A235">
      <v>227</v>
    </oc>
    <nc r="A235"/>
  </rcc>
  <rcc rId="3184" sId="3">
    <oc r="B235" t="inlineStr">
      <is>
        <t>Капитальный ремонт двух трансформаторов 2ТМ 400/6кВ в ТП-657</t>
      </is>
    </oc>
    <nc r="B235"/>
  </rcc>
  <rcc rId="3185" sId="3">
    <oc r="C235" t="inlineStr">
      <is>
        <t>Счет-фактура №965</t>
      </is>
    </oc>
    <nc r="C235"/>
  </rcc>
  <rcc rId="3186" sId="3">
    <oc r="D235">
      <v>5</v>
    </oc>
    <nc r="D235"/>
  </rcc>
  <rcc rId="3187" sId="3">
    <oc r="F235" t="inlineStr">
      <is>
        <t>330-ТМ/16 от 23.12.2016</t>
      </is>
    </oc>
    <nc r="F235"/>
  </rcc>
  <rcc rId="3188" sId="3">
    <oc r="G235">
      <f>0.315133*1000</f>
    </oc>
    <nc r="G235"/>
  </rcc>
  <rcc rId="3189" sId="3">
    <oc r="A236">
      <v>228</v>
    </oc>
    <nc r="A236"/>
  </rcc>
  <rcc rId="3190" sId="3">
    <oc r="B236" t="inlineStr">
      <is>
        <t>Капитальный ремонт трансформатора 180/6кВ в ТП-424</t>
      </is>
    </oc>
    <nc r="B236"/>
  </rcc>
  <rcc rId="3191" sId="3">
    <oc r="C236" t="inlineStr">
      <is>
        <t>Счет-фактура №950</t>
      </is>
    </oc>
    <nc r="C236"/>
  </rcc>
  <rcc rId="3192" sId="3">
    <oc r="D236">
      <v>5</v>
    </oc>
    <nc r="D236"/>
  </rcc>
  <rcc rId="3193" sId="3">
    <oc r="F236" t="inlineStr">
      <is>
        <t>331-ТМ/16 от 23.12.2016</t>
      </is>
    </oc>
    <nc r="F236"/>
  </rcc>
  <rcc rId="3194" sId="3">
    <oc r="G236">
      <f>0.136262*1000</f>
    </oc>
    <nc r="G236"/>
  </rcc>
  <rcc rId="3195" sId="3">
    <oc r="A237">
      <v>229</v>
    </oc>
    <nc r="A237"/>
  </rcc>
  <rcc rId="3196" sId="3">
    <oc r="B237" t="inlineStr">
      <is>
        <t>Капитальный ремонт трансформатора 180/10кВ в ТП-501</t>
      </is>
    </oc>
    <nc r="B237"/>
  </rcc>
  <rcc rId="3197" sId="3">
    <oc r="C237" t="inlineStr">
      <is>
        <t>Счет-фактура №941</t>
      </is>
    </oc>
    <nc r="C237"/>
  </rcc>
  <rcc rId="3198" sId="3">
    <oc r="D237">
      <v>5</v>
    </oc>
    <nc r="D237"/>
  </rcc>
  <rcc rId="3199" sId="3">
    <oc r="F237" t="inlineStr">
      <is>
        <t>321-ТМ/16 от 23.12.2016</t>
      </is>
    </oc>
    <nc r="F237"/>
  </rcc>
  <rcc rId="3200" sId="3">
    <oc r="G237">
      <f>0.136262*1000</f>
    </oc>
    <nc r="G237"/>
  </rcc>
  <rcc rId="3201" sId="3">
    <oc r="A238">
      <v>230</v>
    </oc>
    <nc r="A238"/>
  </rcc>
  <rcc rId="3202" sId="3">
    <oc r="B238" t="inlineStr">
      <is>
        <t>Капитальный ремонт тр-ра 400/10кВ в МТП-513</t>
      </is>
    </oc>
    <nc r="B238"/>
  </rcc>
  <rcc rId="3203" sId="3">
    <oc r="C238" t="inlineStr">
      <is>
        <t>Счет-фактура №994</t>
      </is>
    </oc>
    <nc r="C238"/>
  </rcc>
  <rcc rId="3204" sId="3">
    <oc r="D238">
      <v>5</v>
    </oc>
    <nc r="D238"/>
  </rcc>
  <rcc rId="3205" sId="3">
    <oc r="F238" t="inlineStr">
      <is>
        <t>343-ТМ/16 от 23.12.2016</t>
      </is>
    </oc>
    <nc r="F238"/>
  </rcc>
  <rcc rId="3206" sId="3">
    <oc r="G238">
      <f>0.157566*1000</f>
    </oc>
    <nc r="G238"/>
  </rcc>
  <rcc rId="3207" sId="3">
    <oc r="A239">
      <v>231</v>
    </oc>
    <nc r="A239"/>
  </rcc>
  <rcc rId="3208" sId="3">
    <oc r="B239" t="inlineStr">
      <is>
        <t>Капитальный ремонт тр-ра 320/10кВ в ТП-391</t>
      </is>
    </oc>
    <nc r="B239"/>
  </rcc>
  <rcc rId="3209" sId="3">
    <oc r="C239" t="inlineStr">
      <is>
        <t>Счет-фактура №995</t>
      </is>
    </oc>
    <nc r="C239"/>
  </rcc>
  <rcc rId="3210" sId="3">
    <oc r="D239">
      <v>5</v>
    </oc>
    <nc r="D239"/>
  </rcc>
  <rcc rId="3211" sId="3">
    <oc r="F239" t="inlineStr">
      <is>
        <t>344-ТМ/16 от 23.12.2016</t>
      </is>
    </oc>
    <nc r="F239"/>
  </rcc>
  <rcc rId="3212" sId="3">
    <oc r="G239">
      <f>0.148733*1000</f>
    </oc>
    <nc r="G239"/>
  </rcc>
  <rcc rId="3213" sId="3">
    <oc r="A240">
      <v>232</v>
    </oc>
    <nc r="A240"/>
  </rcc>
  <rcc rId="3214" sId="3">
    <oc r="B240" t="inlineStr">
      <is>
        <t>Капитальный ремонт тр-ра 400/10кВ в ТП-340</t>
      </is>
    </oc>
    <nc r="B240"/>
  </rcc>
  <rcc rId="3215" sId="3">
    <oc r="C240" t="inlineStr">
      <is>
        <t>Счет-фактура №993</t>
      </is>
    </oc>
    <nc r="C240"/>
  </rcc>
  <rcc rId="3216" sId="3">
    <oc r="D240">
      <v>5</v>
    </oc>
    <nc r="D240"/>
  </rcc>
  <rcc rId="3217" sId="3">
    <oc r="F240" t="inlineStr">
      <is>
        <t>345-ТМ/16 от 23.12.2016</t>
      </is>
    </oc>
    <nc r="F240"/>
  </rcc>
  <rcc rId="3218" sId="3">
    <oc r="G240">
      <f>0.157566*1000</f>
    </oc>
    <nc r="G240"/>
  </rcc>
  <rcc rId="3219" sId="3">
    <oc r="A241">
      <v>233</v>
    </oc>
    <nc r="A241"/>
  </rcc>
  <rcc rId="3220" sId="3">
    <oc r="B241" t="inlineStr">
      <is>
        <t>Капитальный ремонт тр-ра 315/6кВ в ТП-407</t>
      </is>
    </oc>
    <nc r="B241"/>
  </rcc>
  <rcc rId="3221" sId="3">
    <oc r="C241" t="inlineStr">
      <is>
        <t>Счет-фактура №996</t>
      </is>
    </oc>
    <nc r="C241"/>
  </rcc>
  <rcc rId="3222" sId="3">
    <oc r="D241">
      <v>5</v>
    </oc>
    <nc r="D241"/>
  </rcc>
  <rcc rId="3223" sId="3">
    <oc r="F241" t="inlineStr">
      <is>
        <t>346-ТМ/16 от 23.12.2016</t>
      </is>
    </oc>
    <nc r="F241"/>
  </rcc>
  <rcc rId="3224" sId="3">
    <oc r="G241">
      <f>0.148733*1000</f>
    </oc>
    <nc r="G241"/>
  </rcc>
  <rcc rId="3225" sId="3">
    <oc r="A242">
      <v>234</v>
    </oc>
    <nc r="A242"/>
  </rcc>
  <rcc rId="3226" sId="3">
    <oc r="B242" t="inlineStr">
      <is>
        <t>Капитальный ремонт тр-ра 200/6кВ в ТП-400</t>
      </is>
    </oc>
    <nc r="B242"/>
  </rcc>
  <rcc rId="3227" sId="3">
    <oc r="C242" t="inlineStr">
      <is>
        <t>Счет-фактура №992</t>
      </is>
    </oc>
    <nc r="C242"/>
  </rcc>
  <rcc rId="3228" sId="3">
    <oc r="D242">
      <v>5</v>
    </oc>
    <nc r="D242"/>
  </rcc>
  <rcc rId="3229" sId="3">
    <oc r="F242" t="inlineStr">
      <is>
        <t>347-ТМ/16 от 23.12.2016</t>
      </is>
    </oc>
    <nc r="F242"/>
  </rcc>
  <rcc rId="3230" sId="3">
    <oc r="G242">
      <f>0.157566*1000</f>
    </oc>
    <nc r="G242"/>
  </rcc>
  <rcc rId="3231" sId="3">
    <oc r="A243">
      <v>235</v>
    </oc>
    <nc r="A243"/>
  </rcc>
  <rcc rId="3232" sId="3">
    <oc r="B243" t="inlineStr">
      <is>
        <t>Капитальный ремонт тр-ра 400/10кВ в ТП-300</t>
      </is>
    </oc>
    <nc r="B243"/>
  </rcc>
  <rcc rId="3233" sId="3">
    <oc r="C243" t="inlineStr">
      <is>
        <t>Счет-фактура №990</t>
      </is>
    </oc>
    <nc r="C243"/>
  </rcc>
  <rcc rId="3234" sId="3">
    <oc r="D243">
      <v>5</v>
    </oc>
    <nc r="D243"/>
  </rcc>
  <rcc rId="3235" sId="3">
    <oc r="F243" t="inlineStr">
      <is>
        <t>348-ТМ/16 от 23.12.2016</t>
      </is>
    </oc>
    <nc r="F243"/>
  </rcc>
  <rcc rId="3236" sId="3">
    <oc r="G243">
      <f>0.157566*1000</f>
    </oc>
    <nc r="G243"/>
  </rcc>
  <rcc rId="3237" sId="3">
    <oc r="A244">
      <v>236</v>
    </oc>
    <nc r="A244"/>
  </rcc>
  <rcc rId="3238" sId="3">
    <oc r="B244" t="inlineStr">
      <is>
        <t>Капитальный ремонт тр-ра 100/6кВ в МТП-270</t>
      </is>
    </oc>
    <nc r="B244"/>
  </rcc>
  <rcc rId="3239" sId="3">
    <oc r="C244" t="inlineStr">
      <is>
        <t>Счет-фактура №991</t>
      </is>
    </oc>
    <nc r="C244"/>
  </rcc>
  <rcc rId="3240" sId="3">
    <oc r="D244">
      <v>5</v>
    </oc>
    <nc r="D244"/>
  </rcc>
  <rcc rId="3241" sId="3">
    <oc r="F244" t="inlineStr">
      <is>
        <t>349-ТМ/16 от 23.12.2016</t>
      </is>
    </oc>
    <nc r="F244"/>
  </rcc>
  <rcc rId="3242" sId="3">
    <oc r="G244">
      <f>0.125083*1000</f>
    </oc>
    <nc r="G244"/>
  </rcc>
  <rcc rId="3243" sId="3">
    <oc r="A245">
      <v>237</v>
    </oc>
    <nc r="A245"/>
  </rcc>
  <rcc rId="3244" sId="3">
    <oc r="B245" t="inlineStr">
      <is>
        <t>Капитальный ремонт тр-ра ТМ-630/10кВ в ТП-357</t>
      </is>
    </oc>
    <nc r="B245"/>
  </rcc>
  <rcc rId="3245" sId="3">
    <oc r="C245" t="inlineStr">
      <is>
        <t>Счет-фактура №987</t>
      </is>
    </oc>
    <nc r="C245"/>
  </rcc>
  <rcc rId="3246" sId="3">
    <oc r="D245">
      <v>5</v>
    </oc>
    <nc r="D245"/>
  </rcc>
  <rcc rId="3247" sId="3">
    <oc r="F245" t="inlineStr">
      <is>
        <t>350-ТМ/16 от 23.12.2016</t>
      </is>
    </oc>
    <nc r="F245"/>
  </rcc>
  <rcc rId="3248" sId="3">
    <oc r="G245">
      <f>0.179794*1000</f>
    </oc>
    <nc r="G245"/>
  </rcc>
  <rcc rId="3249" sId="3">
    <oc r="A246">
      <v>238</v>
    </oc>
    <nc r="A246"/>
  </rcc>
  <rcc rId="3250" sId="3">
    <oc r="B246" t="inlineStr">
      <is>
        <t>Капитальный ремонт тр-ра 400/10кВ в ТП-374</t>
      </is>
    </oc>
    <nc r="B246"/>
  </rcc>
  <rcc rId="3251" sId="3">
    <oc r="C246" t="inlineStr">
      <is>
        <t>Счет-фактура №988</t>
      </is>
    </oc>
    <nc r="C246"/>
  </rcc>
  <rcc rId="3252" sId="3">
    <oc r="D246">
      <v>5</v>
    </oc>
    <nc r="D246"/>
  </rcc>
  <rcc rId="3253" sId="3">
    <oc r="F246" t="inlineStr">
      <is>
        <t>351-ТМ/16 от 23.12.2016</t>
      </is>
    </oc>
    <nc r="F246"/>
  </rcc>
  <rcc rId="3254" sId="3">
    <oc r="G246">
      <f>0.157566*1000</f>
    </oc>
    <nc r="G246"/>
  </rcc>
  <rcc rId="3255" sId="3">
    <oc r="A247">
      <v>239</v>
    </oc>
    <nc r="A247"/>
  </rcc>
  <rcc rId="3256" sId="3">
    <oc r="B247" t="inlineStr">
      <is>
        <t>Капитальный ремонт тр-ра 250/10кВ в МТП-339</t>
      </is>
    </oc>
    <nc r="B247"/>
  </rcc>
  <rcc rId="3257" sId="3">
    <oc r="C247" t="inlineStr">
      <is>
        <t>Счет-фактура №989</t>
      </is>
    </oc>
    <nc r="C247"/>
  </rcc>
  <rcc rId="3258" sId="3">
    <oc r="D247">
      <v>5</v>
    </oc>
    <nc r="D247"/>
  </rcc>
  <rcc rId="3259" sId="3">
    <oc r="F247" t="inlineStr">
      <is>
        <t>352-ТМ/16 от 23.12.2016</t>
      </is>
    </oc>
    <nc r="F247"/>
  </rcc>
  <rcc rId="3260" sId="3">
    <oc r="G247">
      <f>0.157566*1000</f>
    </oc>
    <nc r="G247"/>
  </rcc>
  <rcc rId="3261" sId="3">
    <oc r="A248">
      <v>240</v>
    </oc>
    <nc r="A248"/>
  </rcc>
  <rcc rId="3262" sId="3">
    <oc r="B248" t="inlineStr">
      <is>
        <t>Капитальный ремонт тр-ра 400/6кВ в РП-14</t>
      </is>
    </oc>
    <nc r="B248"/>
  </rcc>
  <rcc rId="3263" sId="3">
    <oc r="C248" t="inlineStr">
      <is>
        <t>Счет-фактура №986</t>
      </is>
    </oc>
    <nc r="C248"/>
  </rcc>
  <rcc rId="3264" sId="3">
    <oc r="D248">
      <v>5</v>
    </oc>
    <nc r="D248"/>
  </rcc>
  <rcc rId="3265" sId="3">
    <oc r="F248" t="inlineStr">
      <is>
        <t>353-ТМ/16 от 23.12.2016</t>
      </is>
    </oc>
    <nc r="F248"/>
  </rcc>
  <rcc rId="3266" sId="3">
    <oc r="G248">
      <f>0.157566*1000</f>
    </oc>
    <nc r="G248"/>
  </rcc>
  <rcc rId="3267" sId="3">
    <oc r="A249">
      <v>241</v>
    </oc>
    <nc r="A249"/>
  </rcc>
  <rcc rId="3268" sId="3">
    <oc r="B249" t="inlineStr">
      <is>
        <t>Ремонт помещений  АБК ул.Бугарева,30</t>
      </is>
    </oc>
    <nc r="B249"/>
  </rcc>
  <rcc rId="3269" sId="3">
    <oc r="C249" t="inlineStr">
      <is>
        <t>Счет-фактура №997</t>
      </is>
    </oc>
    <nc r="C249"/>
  </rcc>
  <rcc rId="3270" sId="3">
    <oc r="D249">
      <v>17</v>
    </oc>
    <nc r="D249"/>
  </rcc>
  <rcc rId="3271" sId="3">
    <oc r="F249" t="inlineStr">
      <is>
        <t>5-5/17 от 30.12.22016</t>
      </is>
    </oc>
    <nc r="F249"/>
  </rcc>
  <rcc rId="3272" sId="3">
    <oc r="G249">
      <f>0.915008*1000</f>
    </oc>
    <nc r="G249"/>
  </rcc>
  <rcc rId="3273" sId="3">
    <oc r="A250">
      <v>242</v>
    </oc>
    <nc r="A250"/>
  </rcc>
  <rcc rId="3274" sId="3">
    <oc r="B250" t="inlineStr">
      <is>
        <t xml:space="preserve">Ремонт помещения  №9 ОДС АБК-2 ул.Орджоникидзе,12 </t>
      </is>
    </oc>
    <nc r="B250"/>
  </rcc>
  <rcc rId="3275" sId="3">
    <oc r="C250" t="inlineStr">
      <is>
        <t>Счет-фактура №981</t>
      </is>
    </oc>
    <nc r="C250"/>
  </rcc>
  <rcc rId="3276" sId="3">
    <oc r="D250">
      <v>6</v>
    </oc>
    <nc r="D250"/>
  </rcc>
  <rcc rId="3277" sId="3">
    <oc r="F250" t="inlineStr">
      <is>
        <t>5-1/17 от 30.12.2016</t>
      </is>
    </oc>
    <nc r="F250"/>
  </rcc>
  <rcc rId="3278" sId="3">
    <oc r="G250">
      <f>0.110307*1000</f>
    </oc>
    <nc r="G250"/>
  </rcc>
  <rcc rId="3279" sId="3">
    <oc r="A251">
      <v>243</v>
    </oc>
    <nc r="A251"/>
  </rcc>
  <rcc rId="3280" sId="3">
    <oc r="B251" t="inlineStr">
      <is>
        <t>Капитальный ремонт освещения гаражных боксов по адресу пр.Пионерский,42. Центральный район, г.Новокузнецк</t>
      </is>
    </oc>
    <nc r="B251"/>
  </rcc>
  <rcc rId="3281" sId="3">
    <oc r="C251" t="inlineStr">
      <is>
        <t>Счет-фактура №980</t>
      </is>
    </oc>
    <nc r="C251"/>
  </rcc>
  <rcc rId="3282" sId="3">
    <oc r="D251">
      <v>4</v>
    </oc>
    <nc r="D251"/>
  </rcc>
  <rcc rId="3283" sId="3">
    <oc r="F251" t="inlineStr">
      <is>
        <t>5-39э/1-16 от 30.12.2016</t>
      </is>
    </oc>
    <nc r="F251"/>
  </rcc>
  <rcc rId="3284" sId="3">
    <oc r="G251">
      <f>0.096281*1000</f>
    </oc>
    <nc r="G251"/>
  </rcc>
  <rcc rId="3285" sId="3">
    <oc r="A252">
      <v>244</v>
    </oc>
    <nc r="A252"/>
  </rcc>
  <rcc rId="3286" sId="3">
    <oc r="B252" t="inlineStr">
      <is>
        <t>Капитальный ремонт наружного освещения по адресу ул.Орджоникидзе, 12. Центральный район, г.Новокузнецк</t>
      </is>
    </oc>
    <nc r="B252"/>
  </rcc>
  <rcc rId="3287" sId="3">
    <oc r="C252" t="inlineStr">
      <is>
        <t>Счет-фактура №979</t>
      </is>
    </oc>
    <nc r="C252"/>
  </rcc>
  <rcc rId="3288" sId="3">
    <oc r="D252">
      <v>6</v>
    </oc>
    <nc r="D252"/>
  </rcc>
  <rcc rId="3289" sId="3">
    <oc r="F252" t="inlineStr">
      <is>
        <t>5-462э/16 от 30.12.2016</t>
      </is>
    </oc>
    <nc r="F252"/>
  </rcc>
  <rcc rId="3290" sId="3">
    <oc r="G252">
      <f>0.114996*1000</f>
    </oc>
    <nc r="G252"/>
  </rcc>
  <rcc rId="3291" sId="3">
    <oc r="A253">
      <v>245</v>
    </oc>
    <nc r="A253"/>
  </rcc>
  <rcc rId="3292" sId="3">
    <oc r="B253" t="inlineStr">
      <is>
        <t>АБК-1, АБК-2, маслохозяйство (ремонт системы отопления и водоснабжения)</t>
      </is>
    </oc>
    <nc r="B253"/>
  </rcc>
  <rcc rId="3293" sId="3">
    <oc r="C253" t="inlineStr">
      <is>
        <t>Счет-фактура №972</t>
      </is>
    </oc>
    <nc r="C253"/>
  </rcc>
  <rcc rId="3294" sId="3">
    <oc r="D253">
      <v>7</v>
    </oc>
    <nc r="D253"/>
  </rcc>
  <rcc rId="3295" sId="3">
    <oc r="F253" t="inlineStr">
      <is>
        <t>5-2-А/16 от 30.12.2016</t>
      </is>
    </oc>
    <nc r="F253"/>
  </rcc>
  <rcc rId="3296" sId="3">
    <oc r="G253">
      <f>0.071317*1000</f>
    </oc>
    <nc r="G253"/>
  </rcc>
  <rcc rId="3297" sId="3">
    <oc r="A254">
      <v>246</v>
    </oc>
    <nc r="A254"/>
  </rcc>
  <rcc rId="3298" sId="3">
    <oc r="B254" t="inlineStr">
      <is>
        <t>Ремонт помещений АБК-1 ул.Орджоникидзе,12</t>
      </is>
    </oc>
    <nc r="B254"/>
  </rcc>
  <rcc rId="3299" sId="3">
    <oc r="C254" t="inlineStr">
      <is>
        <t>Счет-фактура №973</t>
      </is>
    </oc>
    <nc r="C254"/>
  </rcc>
  <rcc rId="3300" sId="3">
    <oc r="D254">
      <v>4</v>
    </oc>
    <nc r="D254"/>
  </rcc>
  <rcc rId="3301" sId="3">
    <oc r="F254" t="inlineStr">
      <is>
        <t>5-70-А/16 от 30.12.2016</t>
      </is>
    </oc>
    <nc r="F254"/>
  </rcc>
  <rcc rId="3302" sId="3">
    <oc r="G254">
      <f>0.043616*1000</f>
    </oc>
    <nc r="G254"/>
  </rcc>
  <rcc rId="3303" sId="3">
    <oc r="A255">
      <v>247</v>
    </oc>
    <nc r="A255"/>
  </rcc>
  <rcc rId="3304" sId="3">
    <oc r="B255" t="inlineStr">
      <is>
        <t>Ремонт  АБК ул.Орджоникидзе,12</t>
      </is>
    </oc>
    <nc r="B255"/>
  </rcc>
  <rcc rId="3305" sId="3">
    <oc r="C255" t="inlineStr">
      <is>
        <t>Счет-фактура №974</t>
      </is>
    </oc>
    <nc r="C255"/>
  </rcc>
  <rcc rId="3306" sId="3">
    <oc r="D255">
      <v>4</v>
    </oc>
    <nc r="D255"/>
  </rcc>
  <rcc rId="3307" sId="3">
    <oc r="F255" t="inlineStr">
      <is>
        <t>5-48-А/16 от 30.12.2016</t>
      </is>
    </oc>
    <nc r="F255"/>
  </rcc>
  <rcc rId="3308" sId="3">
    <oc r="G255">
      <f>0.022228*1000</f>
    </oc>
    <nc r="G255"/>
  </rcc>
  <rcc rId="3309" sId="3">
    <oc r="A256">
      <v>248</v>
    </oc>
    <nc r="A256"/>
  </rcc>
  <rcc rId="3310" sId="3">
    <oc r="B256" t="inlineStr">
      <is>
        <t>Ремонт ИТП ул.Бугарева,30</t>
      </is>
    </oc>
    <nc r="B256"/>
  </rcc>
  <rcc rId="3311" sId="3">
    <oc r="C256" t="inlineStr">
      <is>
        <t>Счет-фактура №975</t>
      </is>
    </oc>
    <nc r="C256"/>
  </rcc>
  <rcc rId="3312" sId="3">
    <oc r="D256">
      <v>5</v>
    </oc>
    <nc r="D256"/>
  </rcc>
  <rcc rId="3313" sId="3">
    <oc r="F256" t="inlineStr">
      <is>
        <t>5-111-А/16 от 30.12.2016</t>
      </is>
    </oc>
    <nc r="F256"/>
  </rcc>
  <rcc rId="3314" sId="3">
    <oc r="G256">
      <f>0.045254*1000</f>
    </oc>
    <nc r="G256"/>
  </rcc>
  <rcc rId="3315" sId="3">
    <oc r="A257">
      <v>249</v>
    </oc>
    <nc r="A257"/>
  </rcc>
  <rcc rId="3316" sId="3">
    <oc r="B257" t="inlineStr">
      <is>
        <t>Капитальный ремонт помещений ОДС ул.Орджоникидзе,12</t>
      </is>
    </oc>
    <nc r="B257"/>
  </rcc>
  <rcc rId="3317" sId="3">
    <oc r="C257" t="inlineStr">
      <is>
        <t>Счет-фактура №976</t>
      </is>
    </oc>
    <nc r="C257"/>
  </rcc>
  <rcc rId="3318" sId="3">
    <oc r="D257">
      <v>5</v>
    </oc>
    <nc r="D257"/>
  </rcc>
  <rcc rId="3319" sId="3">
    <oc r="F257" t="inlineStr">
      <is>
        <t>5-34-А/16 от 30.12.2016</t>
      </is>
    </oc>
    <nc r="F257"/>
  </rcc>
  <rcc rId="3320" sId="3">
    <oc r="G257">
      <f>0.059957*1000</f>
    </oc>
    <nc r="G257"/>
  </rcc>
  <rcc rId="3321" sId="3">
    <oc r="A258">
      <v>250</v>
    </oc>
    <nc r="A258"/>
  </rcc>
  <rcc rId="3322" sId="3">
    <oc r="B258" t="inlineStr">
      <is>
        <t>Ремонт системы водоснабжения АБК пр.Пионерский,42</t>
      </is>
    </oc>
    <nc r="B258"/>
  </rcc>
  <rcc rId="3323" sId="3">
    <oc r="C258" t="inlineStr">
      <is>
        <t>Счет-фактура №977</t>
      </is>
    </oc>
    <nc r="C258"/>
  </rcc>
  <rcc rId="3324" sId="3">
    <oc r="D258">
      <v>5</v>
    </oc>
    <nc r="D258"/>
  </rcc>
  <rcc rId="3325" sId="3">
    <oc r="F258" t="inlineStr">
      <is>
        <t>5-40-А/16 от 30.12.2016</t>
      </is>
    </oc>
    <nc r="F258"/>
  </rcc>
  <rcc rId="3326" sId="3">
    <oc r="G258">
      <f>0.024947*1000</f>
    </oc>
    <nc r="G258"/>
  </rcc>
  <rcc rId="3327" sId="3">
    <oc r="A259">
      <v>251</v>
    </oc>
    <nc r="A259"/>
  </rcc>
  <rcc rId="3328" sId="3">
    <oc r="B259" t="inlineStr">
      <is>
        <t>Ремонт теплового узла в гараже пр.Пионерский, 42</t>
      </is>
    </oc>
    <nc r="B259"/>
  </rcc>
  <rcc rId="3329" sId="3">
    <oc r="C259" t="inlineStr">
      <is>
        <t>Счет-фактура №971</t>
      </is>
    </oc>
    <nc r="C259"/>
  </rcc>
  <rcc rId="3330" sId="3">
    <oc r="D259">
      <v>4</v>
    </oc>
    <nc r="D259"/>
  </rcc>
  <rcc rId="3331" sId="3">
    <oc r="F259" t="inlineStr">
      <is>
        <t>5-23-А/16 от 30.12.2016</t>
      </is>
    </oc>
    <nc r="F259"/>
  </rcc>
  <rcc rId="3332" sId="3">
    <oc r="G259">
      <f>0.021871*1000</f>
    </oc>
    <nc r="G259"/>
  </rcc>
  <rcc rId="3333" sId="3">
    <oc r="A260">
      <v>252</v>
    </oc>
    <nc r="A260"/>
  </rcc>
  <rcc rId="3334" sId="3">
    <oc r="B260" t="inlineStr">
      <is>
        <t>Капитальный ремонт АБК-1 ул.Орджоникидзе,12 (замена трубы ХВС)</t>
      </is>
    </oc>
    <nc r="B260"/>
  </rcc>
  <rcc rId="3335" sId="3">
    <oc r="C260" t="inlineStr">
      <is>
        <t>Счет-фактура №970</t>
      </is>
    </oc>
    <nc r="C260"/>
  </rcc>
  <rcc rId="3336" sId="3">
    <oc r="D260">
      <v>5</v>
    </oc>
    <nc r="D260"/>
  </rcc>
  <rcc rId="3337" sId="3">
    <oc r="F260" t="inlineStr">
      <is>
        <t>5-21-А/16 от 30.12.2016</t>
      </is>
    </oc>
    <nc r="F260"/>
  </rcc>
  <rcc rId="3338" sId="3">
    <oc r="G260">
      <f>0.099428*1000</f>
    </oc>
    <nc r="G260"/>
  </rcc>
  <rcc rId="3339" sId="3">
    <oc r="A261">
      <v>253</v>
    </oc>
    <nc r="A261"/>
  </rcc>
  <rcc rId="3340" sId="3">
    <oc r="B261" t="inlineStr">
      <is>
        <t>Капитальный ремонт наружного освещения здания по адресу пр. Пионерский, 42</t>
      </is>
    </oc>
    <nc r="B261"/>
  </rcc>
  <rcc rId="3341" sId="3">
    <oc r="C261" t="inlineStr">
      <is>
        <t>Счет-фактура №978</t>
      </is>
    </oc>
    <nc r="C261"/>
  </rcc>
  <rcc rId="3342" sId="3">
    <oc r="D261">
      <v>5</v>
    </oc>
    <nc r="D261"/>
  </rcc>
  <rcc rId="3343" sId="3">
    <oc r="F261" t="inlineStr">
      <is>
        <t>5-40э/1-16 от 30.12.2016</t>
      </is>
    </oc>
    <nc r="F261"/>
  </rcc>
  <rcc rId="3344" sId="3">
    <oc r="G261">
      <f>0.038216*1000</f>
    </oc>
    <nc r="G261"/>
  </rcc>
  <rcc rId="3345" sId="3">
    <oc r="A262">
      <v>254</v>
    </oc>
    <nc r="A262"/>
  </rcc>
  <rcc rId="3346" sId="3">
    <oc r="B262" t="inlineStr">
      <is>
        <t>Восстановление благоустройства после ремонтов на эл. сетях Заводского и Новоильинского районов</t>
      </is>
    </oc>
    <nc r="B262"/>
  </rcc>
  <rcc rId="3347" sId="3">
    <oc r="C262" t="inlineStr">
      <is>
        <t xml:space="preserve">Счет-фактура №967 </t>
      </is>
    </oc>
    <nc r="C262"/>
  </rcc>
  <rcc rId="3348" sId="3">
    <oc r="D262">
      <v>6</v>
    </oc>
    <nc r="D262"/>
  </rcc>
  <rcc rId="3349" sId="3">
    <oc r="F262" t="inlineStr">
      <is>
        <t>3-141/16 от 30.10.2016</t>
      </is>
    </oc>
    <nc r="F262"/>
  </rcc>
  <rcc rId="3350" sId="3">
    <oc r="G262">
      <f>0.2595004*1000</f>
    </oc>
    <nc r="G262"/>
  </rcc>
  <rcc rId="3351" sId="3">
    <oc r="A263">
      <v>255</v>
    </oc>
    <nc r="A263"/>
  </rcc>
  <rcc rId="3352" sId="3">
    <oc r="B263" t="inlineStr">
      <is>
        <t>Восстановление благоустройства после ремонтов на эл. сетях Центрального района</t>
      </is>
    </oc>
    <nc r="B263"/>
  </rcc>
  <rcc rId="3353" sId="3">
    <oc r="C263" t="inlineStr">
      <is>
        <t xml:space="preserve">Счет-фактура №966 </t>
      </is>
    </oc>
    <nc r="C263"/>
  </rcc>
  <rcc rId="3354" sId="3">
    <oc r="D263">
      <v>6</v>
    </oc>
    <nc r="D263"/>
  </rcc>
  <rcc rId="3355" sId="3">
    <oc r="F263" t="inlineStr">
      <is>
        <t>5-140/16 от 30.10.2016</t>
      </is>
    </oc>
    <nc r="F263"/>
  </rcc>
  <rcc rId="3356" sId="3">
    <oc r="G263">
      <f>0.286067*1000</f>
    </oc>
    <nc r="G263"/>
  </rcc>
  <rcc rId="3357" sId="3">
    <oc r="A264">
      <v>256</v>
    </oc>
    <nc r="A264"/>
  </rcc>
  <rcc rId="3358" sId="3">
    <oc r="B264" t="inlineStr">
      <is>
        <t>Восстановление благоустройства после ремонтов на эл. сетях Центрального и Куйбышевского района</t>
      </is>
    </oc>
    <nc r="B264"/>
  </rcc>
  <rcc rId="3359" sId="3">
    <oc r="C264" t="inlineStr">
      <is>
        <t xml:space="preserve">Счет-фактура №968 </t>
      </is>
    </oc>
    <nc r="C264"/>
  </rcc>
  <rcc rId="3360" sId="3">
    <oc r="D264">
      <v>6</v>
    </oc>
    <nc r="D264"/>
  </rcc>
  <rcc rId="3361" sId="3">
    <oc r="F264" t="inlineStr">
      <is>
        <t>5-139/16 от 30.10.2016</t>
      </is>
    </oc>
    <nc r="F264"/>
  </rcc>
  <rcc rId="3362" sId="3">
    <oc r="G264">
      <f>0.48524*1000</f>
    </oc>
    <nc r="G264"/>
  </rcc>
  <rcc rId="3363" sId="3">
    <oc r="A265" t="inlineStr">
      <is>
        <t>ВСЕГО по программе</t>
      </is>
    </oc>
    <nc r="A265"/>
  </rcc>
  <rcc rId="3364" sId="3">
    <oc r="B265" t="inlineStr">
      <is>
        <t>ВСЕГО по программе</t>
      </is>
    </oc>
    <nc r="B265"/>
  </rcc>
  <rcc rId="3365" sId="3">
    <oc r="D265">
      <f>SUM(D7:D264)</f>
    </oc>
    <nc r="D265"/>
  </rcc>
  <rcc rId="3366" sId="3">
    <oc r="G265">
      <f>SUM(G7:G264)</f>
    </oc>
    <nc r="G265"/>
  </rcc>
  <rcc rId="3367" sId="3">
    <oc r="A268" t="inlineStr">
      <is>
        <t>Руководитель предприятия</t>
      </is>
    </oc>
    <nc r="A268"/>
  </rcc>
  <rcc rId="3368" sId="3">
    <oc r="B268" t="inlineStr">
      <is>
        <t>Руководитель предприятия</t>
      </is>
    </oc>
    <nc r="B268"/>
  </rcc>
  <rcc rId="3369" sId="3">
    <oc r="A269" t="inlineStr">
      <is>
        <t>м.п.</t>
      </is>
    </oc>
    <nc r="A269"/>
  </rcc>
  <rcc rId="3370" sId="3">
    <oc r="B269" t="inlineStr">
      <is>
        <t>м.п.</t>
      </is>
    </oc>
    <nc r="B269"/>
  </rcc>
  <rcc rId="3371" sId="3">
    <oc r="D269" t="inlineStr">
      <is>
        <t>(Ф.И.О.)</t>
      </is>
    </oc>
    <nc r="D269"/>
  </rcc>
  <rfmt sheetId="3" sqref="A1:G269">
    <dxf>
      <fill>
        <patternFill patternType="none">
          <bgColor auto="1"/>
        </patternFill>
      </fill>
    </dxf>
  </rfmt>
  <rfmt sheetId="3" sqref="A1:A269" start="0" length="0">
    <dxf>
      <border>
        <left/>
      </border>
    </dxf>
  </rfmt>
  <rfmt sheetId="3" sqref="G1:G269" start="0" length="0">
    <dxf>
      <border>
        <right/>
      </border>
    </dxf>
  </rfmt>
  <rcc rId="3372" sId="1">
    <nc r="C260" t="inlineStr">
      <is>
        <t>КР</t>
      </is>
    </nc>
  </rcc>
  <rcc rId="3373" sId="1">
    <nc r="C261" t="inlineStr">
      <is>
        <t>КР</t>
      </is>
    </nc>
  </rcc>
  <rcc rId="3374" sId="1">
    <nc r="C262" t="inlineStr">
      <is>
        <t>КР</t>
      </is>
    </nc>
  </rcc>
  <rcv guid="{32804526-0746-47BD-964F-D9E07D890F54}" action="delete"/>
  <rcv guid="{32804526-0746-47BD-964F-D9E07D890F54}" action="add"/>
  <rsnm rId="3375" sheetId="3" oldName="[отчет о выполнении прогаммы ремонтного обслуживания за2016 год.xlsx]Реестр" newName="[отчет о выполнении прогаммы ремонтного обслуживания за2016 год.xlsx]Лист"/>
</revisions>
</file>

<file path=xl/revisions/revisionLog11.xml><?xml version="1.0" encoding="utf-8"?>
<revisions xmlns="http://schemas.openxmlformats.org/spreadsheetml/2006/main" xmlns:r="http://schemas.openxmlformats.org/officeDocument/2006/relationships">
  <rcc rId="1725" sId="3">
    <oc r="C241" t="inlineStr">
      <is>
        <t>Счет-фактура №</t>
      </is>
    </oc>
    <nc r="C241" t="inlineStr">
      <is>
        <t>Счет-фактура №996</t>
      </is>
    </nc>
  </rcc>
  <rcc rId="1726" sId="3">
    <nc r="D241">
      <v>5</v>
    </nc>
  </rcc>
  <rcc rId="1727" sId="3">
    <oc r="C242" t="inlineStr">
      <is>
        <t>Счет-фактура №</t>
      </is>
    </oc>
    <nc r="C242" t="inlineStr">
      <is>
        <t>Счет-фактура №992</t>
      </is>
    </nc>
  </rcc>
  <rcc rId="1728" sId="3">
    <nc r="D242">
      <v>5</v>
    </nc>
  </rcc>
  <rcc rId="1729" sId="3">
    <oc r="C243" t="inlineStr">
      <is>
        <t>Счет-фактура №</t>
      </is>
    </oc>
    <nc r="C243" t="inlineStr">
      <is>
        <t>Счет-фактура №990</t>
      </is>
    </nc>
  </rcc>
  <rcc rId="1730" sId="3">
    <nc r="D243">
      <v>5</v>
    </nc>
  </rcc>
  <rcc rId="1731" sId="3">
    <oc r="C244" t="inlineStr">
      <is>
        <t>Счет-фактура №</t>
      </is>
    </oc>
    <nc r="C244" t="inlineStr">
      <is>
        <t>Счет-фактура №991</t>
      </is>
    </nc>
  </rcc>
  <rcc rId="1732" sId="3">
    <nc r="D244">
      <v>5</v>
    </nc>
  </rcc>
  <rcc rId="1733" sId="3">
    <oc r="C245" t="inlineStr">
      <is>
        <t>Счет-фактура №</t>
      </is>
    </oc>
    <nc r="C245" t="inlineStr">
      <is>
        <t>Счет-фактура №987</t>
      </is>
    </nc>
  </rcc>
  <rcc rId="1734" sId="3">
    <nc r="D245">
      <v>5</v>
    </nc>
  </rcc>
  <rcc rId="1735" sId="3">
    <oc r="C246" t="inlineStr">
      <is>
        <t>Счет-фактура №</t>
      </is>
    </oc>
    <nc r="C246" t="inlineStr">
      <is>
        <t>Счет-фактура №988</t>
      </is>
    </nc>
  </rcc>
  <rcc rId="1736" sId="3">
    <nc r="D246">
      <v>5</v>
    </nc>
  </rcc>
  <rcc rId="1737" sId="3">
    <oc r="C247" t="inlineStr">
      <is>
        <t>Счет-фактура №</t>
      </is>
    </oc>
    <nc r="C247" t="inlineStr">
      <is>
        <t>Счет-фактура №989</t>
      </is>
    </nc>
  </rcc>
  <rcc rId="1738" sId="3">
    <nc r="D247">
      <v>5</v>
    </nc>
  </rcc>
</revisions>
</file>

<file path=xl/revisions/revisionLog110.xml><?xml version="1.0" encoding="utf-8"?>
<revisions xmlns="http://schemas.openxmlformats.org/spreadsheetml/2006/main" xmlns:r="http://schemas.openxmlformats.org/officeDocument/2006/relationships">
  <rcc rId="418" sId="1">
    <nc r="G221">
      <f>0.148733*1000</f>
    </nc>
  </rcc>
  <rcc rId="419" sId="1">
    <nc r="I221">
      <f>0.040915*1000</f>
    </nc>
  </rcc>
  <rcc rId="420" sId="2" odxf="1" dxf="1">
    <nc r="F224">
      <f>0.148733*1000</f>
    </nc>
    <odxf>
      <alignment horizontal="general" vertical="bottom" readingOrder="0"/>
    </odxf>
    <ndxf>
      <alignment horizontal="right" vertical="top" readingOrder="0"/>
    </ndxf>
  </rcc>
  <rcc rId="421" sId="2">
    <nc r="E224" t="inlineStr">
      <is>
        <t>301-ТМ/16 от 23.12.2016</t>
      </is>
    </nc>
  </rcc>
  <rcc rId="422" sId="3">
    <nc r="E223" t="inlineStr">
      <is>
        <t>301-ТМ/16 от 23.12.2016</t>
      </is>
    </nc>
  </rcc>
  <rcc rId="423" sId="3" odxf="1" dxf="1">
    <nc r="F223">
      <f>0.148733*1000</f>
    </nc>
    <odxf>
      <alignment horizontal="general" vertical="bottom" readingOrder="0"/>
    </odxf>
    <ndxf>
      <alignment horizontal="right" vertical="top" readingOrder="0"/>
    </ndxf>
  </rcc>
  <rcc rId="424" sId="1">
    <nc r="G203">
      <f>0.157566*1000</f>
    </nc>
  </rcc>
  <rcc rId="425" sId="1">
    <nc r="I203">
      <f>0.040915*1000</f>
    </nc>
  </rcc>
  <rm rId="426" sheetId="2" source="G205" destination="F206" sourceSheetId="2">
    <rfmt sheetId="2" sqref="F206" start="0" length="0">
      <dxf>
        <font>
          <sz val="10"/>
          <color theme="1"/>
          <name val="Calibri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cc rId="427" sId="2" odxf="1" dxf="1">
    <nc r="F206">
      <f>0.157566*1000</f>
    </nc>
    <odxf>
      <alignment horizontal="general" vertical="bottom" readingOrder="0"/>
    </odxf>
    <ndxf>
      <alignment horizontal="right" vertical="top" readingOrder="0"/>
    </ndxf>
  </rcc>
  <rcc rId="428" sId="2">
    <nc r="E206" t="inlineStr">
      <is>
        <t>302-ТМ/16 от 23.12.2016</t>
      </is>
    </nc>
  </rcc>
  <rcc rId="429" sId="3">
    <nc r="E205" t="inlineStr">
      <is>
        <t>302-ТМ/16 от 23.12.2016</t>
      </is>
    </nc>
  </rcc>
  <rcc rId="430" sId="3" odxf="1" dxf="1">
    <nc r="F205">
      <f>0.157566*1000</f>
    </nc>
    <odxf>
      <alignment horizontal="general" vertical="bottom" readingOrder="0"/>
    </odxf>
    <ndxf>
      <alignment horizontal="right" vertical="top" readingOrder="0"/>
    </ndxf>
  </rcc>
  <rcc rId="431" sId="1">
    <nc r="G193">
      <f>0.157048*1000</f>
    </nc>
  </rcc>
  <rcc rId="432" sId="1">
    <nc r="I193">
      <f>0.04923*1000</f>
    </nc>
  </rcc>
  <rcc rId="433" sId="2" odxf="1" dxf="1">
    <nc r="F196">
      <f>0.157048*1000</f>
    </nc>
    <odxf>
      <alignment horizontal="general" vertical="bottom" readingOrder="0"/>
    </odxf>
    <ndxf>
      <alignment horizontal="right" vertical="top" readingOrder="0"/>
    </ndxf>
  </rcc>
  <rcc rId="434" sId="2">
    <nc r="E196" t="inlineStr">
      <is>
        <t>303-ТМ/16 от 23.12.216</t>
      </is>
    </nc>
  </rcc>
  <rcc rId="435" sId="3">
    <nc r="E195" t="inlineStr">
      <is>
        <t>303-ТМ/16 от 23.12.216</t>
      </is>
    </nc>
  </rcc>
  <rcc rId="436" sId="3" odxf="1" dxf="1">
    <nc r="F195">
      <f>0.157048*1000</f>
    </nc>
    <odxf>
      <alignment horizontal="general" vertical="bottom" readingOrder="0"/>
    </odxf>
    <ndxf>
      <alignment horizontal="right" vertical="top" readingOrder="0"/>
    </ndxf>
  </rcc>
  <rcc rId="437" sId="1">
    <nc r="G205">
      <f>0.157566*1000</f>
    </nc>
  </rcc>
  <rcc rId="438" sId="1">
    <nc r="I205">
      <f>0.040915*1000</f>
    </nc>
  </rcc>
  <rcc rId="439" sId="2" odxf="1" dxf="1">
    <nc r="F208">
      <f>0.157566*1000</f>
    </nc>
    <odxf>
      <alignment horizontal="general" vertical="bottom" readingOrder="0"/>
    </odxf>
    <ndxf>
      <alignment horizontal="right" vertical="top" readingOrder="0"/>
    </ndxf>
  </rcc>
  <rcc rId="440" sId="2">
    <nc r="E208" t="inlineStr">
      <is>
        <t>304-ТМ/16 от 23.12.2016</t>
      </is>
    </nc>
  </rcc>
  <rcc rId="441" sId="3">
    <nc r="E207" t="inlineStr">
      <is>
        <t>304-ТМ/16 от 23.12.2016</t>
      </is>
    </nc>
  </rcc>
  <rcc rId="442" sId="3" odxf="1" dxf="1">
    <nc r="F207">
      <f>0.157566*1000</f>
    </nc>
    <odxf>
      <alignment horizontal="general" vertical="bottom" readingOrder="0"/>
    </odxf>
    <ndxf>
      <alignment horizontal="right" vertical="top" readingOrder="0"/>
    </ndxf>
  </rcc>
  <rcc rId="443" sId="1">
    <nc r="G204">
      <f>0.157566*1000</f>
    </nc>
  </rcc>
  <rcc rId="444" sId="1">
    <nc r="I204">
      <f>0.040915*1000</f>
    </nc>
  </rcc>
  <rcc rId="445" sId="2" odxf="1" dxf="1">
    <nc r="F207">
      <f>0.157566*1000</f>
    </nc>
    <odxf>
      <alignment horizontal="general" vertical="bottom" readingOrder="0"/>
    </odxf>
    <ndxf>
      <alignment horizontal="right" vertical="top" readingOrder="0"/>
    </ndxf>
  </rcc>
  <rcc rId="446" sId="2">
    <nc r="E207" t="inlineStr">
      <is>
        <t>305-ТМ/16 от 23.12.2016</t>
      </is>
    </nc>
  </rcc>
  <rcc rId="447" sId="3">
    <nc r="E206" t="inlineStr">
      <is>
        <t>305-ТМ/16 от 23.12.2016</t>
      </is>
    </nc>
  </rcc>
  <rcc rId="448" sId="3" odxf="1" dxf="1">
    <nc r="F206">
      <f>0.157566*1000</f>
    </nc>
    <odxf>
      <alignment horizontal="general" vertical="bottom" readingOrder="0"/>
    </odxf>
    <ndxf>
      <alignment horizontal="right" vertical="top" readingOrder="0"/>
    </ndxf>
  </rcc>
  <rcv guid="{586B0D0F-AFD5-489E-A810-F5CDD42644EC}" action="delete"/>
  <rcv guid="{586B0D0F-AFD5-489E-A810-F5CDD42644EC}" action="add"/>
</revisions>
</file>

<file path=xl/revisions/revisionLog1101.xml><?xml version="1.0" encoding="utf-8"?>
<revisions xmlns="http://schemas.openxmlformats.org/spreadsheetml/2006/main" xmlns:r="http://schemas.openxmlformats.org/officeDocument/2006/relationships">
  <rcc rId="260" sId="1">
    <nc r="G89">
      <f>0.293464*1000</f>
    </nc>
  </rcc>
  <rcc rId="261" sId="1">
    <nc r="I89">
      <f>0.089299*1000</f>
    </nc>
  </rcc>
  <rcc rId="262" sId="2" odxf="1" dxf="1">
    <nc r="F89">
      <f>0.293464*1000</f>
    </nc>
    <odxf>
      <alignment horizontal="general" vertical="bottom" readingOrder="0"/>
    </odxf>
    <ndxf>
      <alignment horizontal="right" vertical="top" readingOrder="0"/>
    </ndxf>
  </rcc>
  <rcc rId="263" sId="2">
    <nc r="E89" t="inlineStr">
      <is>
        <t>5-32/16 от 30.12.2016</t>
      </is>
    </nc>
  </rcc>
  <rcc rId="264" sId="3">
    <nc r="E89" t="inlineStr">
      <is>
        <t>5-32/16 от 30.12.2016</t>
      </is>
    </nc>
  </rcc>
  <rcc rId="265" sId="3" odxf="1" dxf="1">
    <nc r="F89">
      <f>0.293464*1000</f>
    </nc>
    <odxf>
      <alignment horizontal="general" vertical="bottom" readingOrder="0"/>
    </odxf>
    <ndxf>
      <alignment horizontal="right" vertical="top" readingOrder="0"/>
    </ndxf>
  </rcc>
</revisions>
</file>

<file path=xl/revisions/revisionLog11011.xml><?xml version="1.0" encoding="utf-8"?>
<revisions xmlns="http://schemas.openxmlformats.org/spreadsheetml/2006/main" xmlns:r="http://schemas.openxmlformats.org/officeDocument/2006/relationships">
  <rcc rId="254" sId="1">
    <nc r="G79">
      <f>0.24218*1000</f>
    </nc>
  </rcc>
  <rcc rId="255" sId="1">
    <nc r="I79">
      <f>0.098858*1000</f>
    </nc>
  </rcc>
  <rcc rId="256" sId="2" odxf="1" dxf="1">
    <nc r="F79">
      <f>0.24218*1000</f>
    </nc>
    <odxf>
      <alignment horizontal="general" vertical="bottom" readingOrder="0"/>
    </odxf>
    <ndxf>
      <alignment horizontal="right" vertical="top" readingOrder="0"/>
    </ndxf>
  </rcc>
  <rcc rId="257" sId="2">
    <nc r="E79" t="inlineStr">
      <is>
        <t>5-45/16 от 30.12.2016</t>
      </is>
    </nc>
  </rcc>
  <rcc rId="258" sId="3">
    <nc r="E79" t="inlineStr">
      <is>
        <t>5-45/16 от 30.12.2016</t>
      </is>
    </nc>
  </rcc>
  <rcc rId="259" sId="3" odxf="1" dxf="1">
    <nc r="F79">
      <f>0.24218*1000</f>
    </nc>
    <odxf>
      <alignment horizontal="general" vertical="bottom" readingOrder="0"/>
    </odxf>
    <ndxf>
      <alignment horizontal="right" vertical="top" readingOrder="0"/>
    </ndxf>
  </rcc>
</revisions>
</file>

<file path=xl/revisions/revisionLog110111.xml><?xml version="1.0" encoding="utf-8"?>
<revisions xmlns="http://schemas.openxmlformats.org/spreadsheetml/2006/main" xmlns:r="http://schemas.openxmlformats.org/officeDocument/2006/relationships">
  <rcc rId="246" sId="3">
    <nc r="E70" t="inlineStr">
      <is>
        <t>5-50/16 от 30.12.2016</t>
      </is>
    </nc>
  </rcc>
  <rcc rId="247" sId="3" odxf="1" dxf="1">
    <nc r="F70">
      <f>0.259095*1000</f>
    </nc>
    <odxf>
      <alignment horizontal="general" vertical="bottom" readingOrder="0"/>
    </odxf>
    <ndxf>
      <alignment horizontal="right" vertical="top" readingOrder="0"/>
    </ndxf>
  </rcc>
  <rcc rId="248" sId="1">
    <nc r="G71">
      <f>0.250972*1000</f>
    </nc>
  </rcc>
  <rcc rId="249" sId="1">
    <nc r="I71">
      <f>0.11749*1000</f>
    </nc>
  </rcc>
  <rcc rId="250" sId="2" odxf="1" dxf="1">
    <nc r="F71">
      <f>0.250972*1000</f>
    </nc>
    <odxf>
      <alignment horizontal="general" vertical="bottom" readingOrder="0"/>
    </odxf>
    <ndxf>
      <alignment horizontal="right" vertical="top" readingOrder="0"/>
    </ndxf>
  </rcc>
  <rcc rId="251" sId="2">
    <nc r="E71" t="inlineStr">
      <is>
        <t>5-42/16 от 30.12.2016</t>
      </is>
    </nc>
  </rcc>
  <rcc rId="252" sId="3">
    <nc r="E71" t="inlineStr">
      <is>
        <t>5-42/16 от 30.12.2016</t>
      </is>
    </nc>
  </rcc>
  <rcc rId="253" sId="3" odxf="1" dxf="1">
    <nc r="F71">
      <f>0.250972*1000</f>
    </nc>
    <odxf>
      <alignment horizontal="general" vertical="bottom" readingOrder="0"/>
    </odxf>
    <ndxf>
      <alignment horizontal="right" vertical="top" readingOrder="0"/>
    </ndxf>
  </rcc>
</revisions>
</file>

<file path=xl/revisions/revisionLog111.xml><?xml version="1.0" encoding="utf-8"?>
<revisions xmlns="http://schemas.openxmlformats.org/spreadsheetml/2006/main" xmlns:r="http://schemas.openxmlformats.org/officeDocument/2006/relationships">
  <rcc rId="1615" sId="3">
    <oc r="C164" t="inlineStr">
      <is>
        <t>Счет-фактура №</t>
      </is>
    </oc>
    <nc r="C164" t="inlineStr">
      <is>
        <t>Счет-фактура №793</t>
      </is>
    </nc>
  </rcc>
  <rcc rId="1616" sId="3">
    <nc r="D164">
      <v>9</v>
    </nc>
  </rcc>
  <rcc rId="1617" sId="3">
    <oc r="C165" t="inlineStr">
      <is>
        <t>Счет-фактура №</t>
      </is>
    </oc>
    <nc r="C165" t="inlineStr">
      <is>
        <t>Счет-фактура №794</t>
      </is>
    </nc>
  </rcc>
  <rcc rId="1618" sId="3">
    <nc r="D165">
      <v>8</v>
    </nc>
  </rcc>
  <rcc rId="1619" sId="3">
    <oc r="C166" t="inlineStr">
      <is>
        <t>Счет-фактура №</t>
      </is>
    </oc>
    <nc r="C166" t="inlineStr">
      <is>
        <t>Счет-фактура №795</t>
      </is>
    </nc>
  </rcc>
  <rcc rId="1620" sId="3">
    <nc r="D166">
      <v>8</v>
    </nc>
  </rcc>
  <rcc rId="1621" sId="3">
    <oc r="C167" t="inlineStr">
      <is>
        <t>Счет-фактура №</t>
      </is>
    </oc>
    <nc r="C167" t="inlineStr">
      <is>
        <t>Счет-фактура №796</t>
      </is>
    </nc>
  </rcc>
  <rcc rId="1622" sId="3">
    <nc r="D167">
      <v>8</v>
    </nc>
  </rcc>
  <rcc rId="1623" sId="3">
    <oc r="C168" t="inlineStr">
      <is>
        <t>Счет-фактура №</t>
      </is>
    </oc>
    <nc r="C168" t="inlineStr">
      <is>
        <t>Счет-фактура №797</t>
      </is>
    </nc>
  </rcc>
  <rcc rId="1624" sId="3">
    <nc r="D168">
      <v>8</v>
    </nc>
  </rcc>
  <rcc rId="1625" sId="3">
    <oc r="C169" t="inlineStr">
      <is>
        <t>Счет-фактура №</t>
      </is>
    </oc>
    <nc r="C169" t="inlineStr">
      <is>
        <t>Счет-фактура №798</t>
      </is>
    </nc>
  </rcc>
  <rcc rId="1626" sId="3">
    <nc r="D169">
      <v>8</v>
    </nc>
  </rcc>
  <rcc rId="1627" sId="3">
    <oc r="C170" t="inlineStr">
      <is>
        <t>Счет-фактура №</t>
      </is>
    </oc>
    <nc r="C170" t="inlineStr">
      <is>
        <t>Счет-фактура №799</t>
      </is>
    </nc>
  </rcc>
  <rcc rId="1628" sId="3">
    <nc r="D170">
      <v>8</v>
    </nc>
  </rcc>
  <rcc rId="1629" sId="3">
    <oc r="C172" t="inlineStr">
      <is>
        <t>Счет-фактура №</t>
      </is>
    </oc>
    <nc r="C172" t="inlineStr">
      <is>
        <t>Счет-фактура №802</t>
      </is>
    </nc>
  </rcc>
  <rcc rId="1630" sId="3">
    <nc r="D172">
      <v>8</v>
    </nc>
  </rcc>
  <rcc rId="1631" sId="3">
    <oc r="C175" t="inlineStr">
      <is>
        <t>Счет-фактура №</t>
      </is>
    </oc>
    <nc r="C175" t="inlineStr">
      <is>
        <t>Счет-фактура №806</t>
      </is>
    </nc>
  </rcc>
  <rcc rId="1632" sId="3">
    <nc r="D175">
      <v>8</v>
    </nc>
  </rcc>
  <rcc rId="1633" sId="3">
    <oc r="C176" t="inlineStr">
      <is>
        <t>Счет-фактура №</t>
      </is>
    </oc>
    <nc r="C176" t="inlineStr">
      <is>
        <t>Счет-фактура №807</t>
      </is>
    </nc>
  </rcc>
  <rcc rId="1634" sId="3">
    <nc r="D176">
      <v>8</v>
    </nc>
  </rcc>
  <rcc rId="1635" sId="3">
    <oc r="C177" t="inlineStr">
      <is>
        <t>Счет-фактура №</t>
      </is>
    </oc>
    <nc r="C177" t="inlineStr">
      <is>
        <t>Счет-фактура №808</t>
      </is>
    </nc>
  </rcc>
  <rcc rId="1636" sId="3">
    <nc r="D177">
      <v>8</v>
    </nc>
  </rcc>
  <rcc rId="1637" sId="3">
    <oc r="C178" t="inlineStr">
      <is>
        <t>Счет-фактура №</t>
      </is>
    </oc>
    <nc r="C178" t="inlineStr">
      <is>
        <t>Счет-фактура №809</t>
      </is>
    </nc>
  </rcc>
  <rcc rId="1638" sId="3">
    <nc r="D178">
      <v>8</v>
    </nc>
  </rcc>
  <rcc rId="1639" sId="3">
    <oc r="C179" t="inlineStr">
      <is>
        <t>Счет-фактура №</t>
      </is>
    </oc>
    <nc r="C179" t="inlineStr">
      <is>
        <t>Счет-фактура №810</t>
      </is>
    </nc>
  </rcc>
  <rcc rId="1640" sId="3">
    <nc r="D179">
      <v>4</v>
    </nc>
  </rcc>
  <rcc rId="1641" sId="3">
    <oc r="C187" t="inlineStr">
      <is>
        <t>Счет-фактура №</t>
      </is>
    </oc>
    <nc r="C187" t="inlineStr">
      <is>
        <t>Счет-фактура №818</t>
      </is>
    </nc>
  </rcc>
  <rcc rId="1642" sId="3">
    <nc r="D187">
      <v>6</v>
    </nc>
  </rcc>
  <rcc rId="1643" sId="3">
    <oc r="C188" t="inlineStr">
      <is>
        <t>Счет-фактура №</t>
      </is>
    </oc>
    <nc r="C188" t="inlineStr">
      <is>
        <t>Счет-фактура №819</t>
      </is>
    </nc>
  </rcc>
  <rcc rId="1644" sId="3">
    <nc r="D188">
      <v>6</v>
    </nc>
  </rcc>
</revisions>
</file>

<file path=xl/revisions/revisionLog1111.xml><?xml version="1.0" encoding="utf-8"?>
<revisions xmlns="http://schemas.openxmlformats.org/spreadsheetml/2006/main" xmlns:r="http://schemas.openxmlformats.org/officeDocument/2006/relationships">
  <rcc rId="1494" sId="3">
    <oc r="C23" t="inlineStr">
      <is>
        <t>Счет-фактура №</t>
      </is>
    </oc>
    <nc r="C23" t="inlineStr">
      <is>
        <t>Счет-фактура №675</t>
      </is>
    </nc>
  </rcc>
  <rcc rId="1495" sId="3">
    <nc r="D23">
      <v>4</v>
    </nc>
  </rcc>
  <rcc rId="1496" sId="3">
    <oc r="C24" t="inlineStr">
      <is>
        <t>Счет-фактура №</t>
      </is>
    </oc>
    <nc r="C24" t="inlineStr">
      <is>
        <t>Счет-фактура №676</t>
      </is>
    </nc>
  </rcc>
  <rcc rId="1497" sId="3">
    <nc r="D24">
      <v>7</v>
    </nc>
  </rcc>
  <rcc rId="1498" sId="3">
    <oc r="C25" t="inlineStr">
      <is>
        <t>Счет-фактура №</t>
      </is>
    </oc>
    <nc r="C25" t="inlineStr">
      <is>
        <t>Счет-фактура №677</t>
      </is>
    </nc>
  </rcc>
  <rcc rId="1499" sId="3">
    <nc r="D25">
      <v>5</v>
    </nc>
  </rcc>
  <rcc rId="1500" sId="3">
    <oc r="C26" t="inlineStr">
      <is>
        <t>Счет-фактура №</t>
      </is>
    </oc>
    <nc r="C26" t="inlineStr">
      <is>
        <t>Счет-фактура №678</t>
      </is>
    </nc>
  </rcc>
  <rcc rId="1501" sId="3">
    <nc r="D26">
      <v>4</v>
    </nc>
  </rcc>
  <rcc rId="1502" sId="3">
    <oc r="C27" t="inlineStr">
      <is>
        <t>Счет-фактура №</t>
      </is>
    </oc>
    <nc r="C27" t="inlineStr">
      <is>
        <t>Счет-фактура №679</t>
      </is>
    </nc>
  </rcc>
  <rcc rId="1503" sId="3">
    <nc r="D27">
      <v>4</v>
    </nc>
  </rcc>
  <rcc rId="1504" sId="3">
    <oc r="C28" t="inlineStr">
      <is>
        <t>Счет-фактура №</t>
      </is>
    </oc>
    <nc r="C28" t="inlineStr">
      <is>
        <t>Счет-фактура №680</t>
      </is>
    </nc>
  </rcc>
  <rcc rId="1505" sId="3">
    <nc r="D28">
      <v>4</v>
    </nc>
  </rcc>
  <rcc rId="1506" sId="3">
    <oc r="C29" t="inlineStr">
      <is>
        <t>Счет-фактура №</t>
      </is>
    </oc>
    <nc r="C29" t="inlineStr">
      <is>
        <t>Счет-фактура №681</t>
      </is>
    </nc>
  </rcc>
  <rcc rId="1507" sId="3">
    <nc r="D29">
      <v>4</v>
    </nc>
  </rcc>
  <rcc rId="1508" sId="3">
    <oc r="C31" t="inlineStr">
      <is>
        <t>Счет-фактура №</t>
      </is>
    </oc>
    <nc r="C31" t="inlineStr">
      <is>
        <t>Счет-фактура №683</t>
      </is>
    </nc>
  </rcc>
  <rcc rId="1509" sId="3">
    <nc r="D31">
      <v>4</v>
    </nc>
  </rcc>
  <rcc rId="1510" sId="3">
    <oc r="C32" t="inlineStr">
      <is>
        <t>Счет-фактура №</t>
      </is>
    </oc>
    <nc r="C32" t="inlineStr">
      <is>
        <t>Счет-фактура №684</t>
      </is>
    </nc>
  </rcc>
  <rcc rId="1511" sId="3">
    <nc r="D32">
      <v>8</v>
    </nc>
  </rcc>
  <rcc rId="1512" sId="3">
    <oc r="C33" t="inlineStr">
      <is>
        <t>Счет-фактура №</t>
      </is>
    </oc>
    <nc r="C33" t="inlineStr">
      <is>
        <t>Счет-фактура №685</t>
      </is>
    </nc>
  </rcc>
  <rcc rId="1513" sId="3">
    <nc r="D33">
      <v>8</v>
    </nc>
  </rcc>
</revisions>
</file>

<file path=xl/revisions/revisionLog11111.xml><?xml version="1.0" encoding="utf-8"?>
<revisions xmlns="http://schemas.openxmlformats.org/spreadsheetml/2006/main" xmlns:r="http://schemas.openxmlformats.org/officeDocument/2006/relationships">
  <rcc rId="1319" sId="2">
    <nc r="F266">
      <f>SUM(F7:F265)</f>
    </nc>
  </rcc>
</revisions>
</file>

<file path=xl/revisions/revisionLog111111.xml><?xml version="1.0" encoding="utf-8"?>
<revisions xmlns="http://schemas.openxmlformats.org/spreadsheetml/2006/main" xmlns:r="http://schemas.openxmlformats.org/officeDocument/2006/relationships"/>
</file>

<file path=xl/revisions/revisionLog111112.xml><?xml version="1.0" encoding="utf-8"?>
<revisions xmlns="http://schemas.openxmlformats.org/spreadsheetml/2006/main" xmlns:r="http://schemas.openxmlformats.org/officeDocument/2006/relationships">
  <rcc rId="1" sId="1">
    <oc r="F257">
      <f>G257</f>
    </oc>
    <nc r="F257">
      <f>G257</f>
    </nc>
  </rcc>
  <rcc rId="2" sId="1">
    <nc r="G257">
      <f>0.021871*1000</f>
    </nc>
  </rcc>
  <rcc rId="3" sId="1">
    <nc r="I257">
      <f>0.000087*1000</f>
    </nc>
  </rcc>
  <rcc rId="4" sId="2" odxf="1" dxf="1">
    <nc r="F260">
      <f>0.021871*1000</f>
    </nc>
    <odxf>
      <alignment horizontal="general" vertical="bottom" readingOrder="0"/>
    </odxf>
    <ndxf>
      <alignment horizontal="right" vertical="top" readingOrder="0"/>
    </ndxf>
  </rcc>
  <rcc rId="5" sId="2">
    <nc r="E260" t="inlineStr">
      <is>
        <t>5-23-А/16 от 30.12.2016</t>
      </is>
    </nc>
  </rcc>
  <rcc rId="6" sId="3">
    <nc r="E259" t="inlineStr">
      <is>
        <t>5-23-А/16 от 30.12.2016</t>
      </is>
    </nc>
  </rcc>
  <rcc rId="7" sId="3" odxf="1" dxf="1">
    <nc r="F259">
      <f>0.021871*1000</f>
    </nc>
    <odxf>
      <alignment horizontal="general" vertical="bottom" readingOrder="0"/>
    </odxf>
    <ndxf>
      <alignment horizontal="right" vertical="top" readingOrder="0"/>
    </ndxf>
  </rcc>
</revisions>
</file>

<file path=xl/revisions/revisionLog11112.xml><?xml version="1.0" encoding="utf-8"?>
<revisions xmlns="http://schemas.openxmlformats.org/spreadsheetml/2006/main" xmlns:r="http://schemas.openxmlformats.org/officeDocument/2006/relationships">
  <rcc rId="461" sId="1">
    <nc r="G206">
      <f>0.157189*1000</f>
    </nc>
  </rcc>
  <rcc rId="462" sId="1">
    <nc r="I206">
      <f>0.040915*1000</f>
    </nc>
  </rcc>
  <rcc rId="463" sId="2" odxf="1" dxf="1">
    <nc r="F209">
      <f>0.157189*1000</f>
    </nc>
    <odxf>
      <alignment horizontal="general" vertical="bottom" readingOrder="0"/>
    </odxf>
    <ndxf>
      <alignment horizontal="right" vertical="top" readingOrder="0"/>
    </ndxf>
  </rcc>
  <rcc rId="464" sId="2">
    <nc r="E209" t="inlineStr">
      <is>
        <t>308-ТМ/16 от 23.12.2016</t>
      </is>
    </nc>
  </rcc>
  <rcc rId="465" sId="3">
    <nc r="E208" t="inlineStr">
      <is>
        <t>308-ТМ/16 от 23.12.2016</t>
      </is>
    </nc>
  </rcc>
  <rcc rId="466" sId="3" odxf="1" dxf="1">
    <nc r="F208">
      <f>0.157189*1000</f>
    </nc>
    <odxf>
      <alignment horizontal="general" vertical="bottom" readingOrder="0"/>
    </odxf>
    <ndxf>
      <alignment horizontal="right" vertical="top" readingOrder="0"/>
    </ndxf>
  </rcc>
  <rcv guid="{586B0D0F-AFD5-489E-A810-F5CDD42644EC}" action="delete"/>
  <rcv guid="{586B0D0F-AFD5-489E-A810-F5CDD42644EC}" action="add"/>
</revisions>
</file>

<file path=xl/revisions/revisionLog1112.xml><?xml version="1.0" encoding="utf-8"?>
<revisions xmlns="http://schemas.openxmlformats.org/spreadsheetml/2006/main" xmlns:r="http://schemas.openxmlformats.org/officeDocument/2006/relationships">
  <rcc rId="350" sId="1">
    <nc r="G199">
      <f>0.157566*1000</f>
    </nc>
  </rcc>
  <rcc rId="351" sId="1">
    <nc r="I199">
      <f>0.040915*1000</f>
    </nc>
  </rcc>
  <rcc rId="352" sId="2" odxf="1" dxf="1">
    <nc r="F202">
      <f>0.157566*1000</f>
    </nc>
    <odxf>
      <alignment horizontal="general" vertical="bottom" readingOrder="0"/>
    </odxf>
    <ndxf>
      <alignment horizontal="right" vertical="top" readingOrder="0"/>
    </ndxf>
  </rcc>
  <rcc rId="353" sId="2">
    <nc r="E202" t="inlineStr">
      <is>
        <t>290-ТМ/16 от 23.12.2016</t>
      </is>
    </nc>
  </rcc>
  <rcc rId="354" sId="3">
    <nc r="E201" t="inlineStr">
      <is>
        <t>290-ТМ/16 от 23.12.2016</t>
      </is>
    </nc>
  </rcc>
  <rcc rId="355" sId="3" odxf="1" dxf="1">
    <nc r="F201">
      <f>0.157566*1000</f>
    </nc>
    <odxf>
      <alignment horizontal="general" vertical="bottom" readingOrder="0"/>
    </odxf>
    <ndxf>
      <alignment horizontal="right" vertical="top" readingOrder="0"/>
    </ndxf>
  </rcc>
</revisions>
</file>

<file path=xl/revisions/revisionLog11121.xml><?xml version="1.0" encoding="utf-8"?>
<revisions xmlns="http://schemas.openxmlformats.org/spreadsheetml/2006/main" xmlns:r="http://schemas.openxmlformats.org/officeDocument/2006/relationships">
  <rcc rId="344" sId="1">
    <nc r="G178">
      <f>0.244937*1000</f>
    </nc>
  </rcc>
  <rcc rId="345" sId="1">
    <nc r="I178">
      <f>0.123633*1000</f>
    </nc>
  </rcc>
  <rcc rId="346" sId="2" odxf="1" dxf="1">
    <nc r="F178">
      <f>0.244937*1000</f>
    </nc>
    <odxf>
      <alignment horizontal="general" vertical="bottom" readingOrder="0"/>
    </odxf>
    <ndxf>
      <alignment horizontal="right" vertical="top" readingOrder="0"/>
    </ndxf>
  </rcc>
  <rcc rId="347" sId="2">
    <nc r="E178" t="inlineStr">
      <is>
        <t>4-125/16 от 30.12.2016</t>
      </is>
    </nc>
  </rcc>
  <rcc rId="348" sId="3">
    <nc r="E178" t="inlineStr">
      <is>
        <t>4-125/16 от 30.12.2016</t>
      </is>
    </nc>
  </rcc>
  <rcc rId="349" sId="3" odxf="1" dxf="1">
    <nc r="F178">
      <f>0.244937*1000</f>
    </nc>
    <odxf>
      <alignment horizontal="general" vertical="bottom" readingOrder="0"/>
    </odxf>
    <ndxf>
      <alignment horizontal="right" vertical="top" readingOrder="0"/>
    </ndxf>
  </rcc>
</revisions>
</file>

<file path=xl/revisions/revisionLog111211.xml><?xml version="1.0" encoding="utf-8"?>
<revisions xmlns="http://schemas.openxmlformats.org/spreadsheetml/2006/main" xmlns:r="http://schemas.openxmlformats.org/officeDocument/2006/relationships">
  <rcc rId="332" sId="1">
    <nc r="G176">
      <f>0.249046*1000</f>
    </nc>
  </rcc>
  <rcc rId="333" sId="1">
    <nc r="I176">
      <f>0.123661*1000</f>
    </nc>
  </rcc>
  <rcc rId="334" sId="2" odxf="1" dxf="1">
    <nc r="F176">
      <f>0.249046*1000</f>
    </nc>
    <odxf>
      <alignment horizontal="general" vertical="bottom" readingOrder="0"/>
    </odxf>
    <ndxf>
      <alignment horizontal="right" vertical="top" readingOrder="0"/>
    </ndxf>
  </rcc>
  <rcc rId="335" sId="2">
    <nc r="E176" t="inlineStr">
      <is>
        <t>4-123/16 от 30.12.2016</t>
      </is>
    </nc>
  </rcc>
  <rcc rId="336" sId="3">
    <nc r="E176" t="inlineStr">
      <is>
        <t>4-123/16 от 30.12.2016</t>
      </is>
    </nc>
  </rcc>
  <rcc rId="337" sId="3" odxf="1" dxf="1">
    <nc r="F176">
      <f>0.249046*1000</f>
    </nc>
    <odxf>
      <alignment horizontal="general" vertical="bottom" readingOrder="0"/>
    </odxf>
    <ndxf>
      <alignment horizontal="right" vertical="top" readingOrder="0"/>
    </ndxf>
  </rcc>
  <rcc rId="338" sId="1">
    <nc r="G177">
      <f>0.248789*1000</f>
    </nc>
  </rcc>
  <rcc rId="339" sId="1">
    <nc r="I177">
      <f>0.123641*1000</f>
    </nc>
  </rcc>
  <rcc rId="340" sId="2" odxf="1" dxf="1">
    <nc r="F177">
      <f>0.248789*1000</f>
    </nc>
    <odxf>
      <alignment horizontal="general" vertical="bottom" readingOrder="0"/>
    </odxf>
    <ndxf>
      <alignment horizontal="right" vertical="top" readingOrder="0"/>
    </ndxf>
  </rcc>
  <rcc rId="341" sId="2">
    <nc r="E177" t="inlineStr">
      <is>
        <t>4-126/16 от 30.12.2016</t>
      </is>
    </nc>
  </rcc>
  <rcc rId="342" sId="3">
    <nc r="E177" t="inlineStr">
      <is>
        <t>4-126/16 от 30.12.2016</t>
      </is>
    </nc>
  </rcc>
  <rcc rId="343" sId="3" odxf="1" dxf="1">
    <nc r="F177">
      <f>0.248789*1000</f>
    </nc>
    <odxf>
      <alignment horizontal="general" vertical="bottom" readingOrder="0"/>
    </odxf>
    <ndxf>
      <alignment horizontal="right" vertical="top" readingOrder="0"/>
    </ndxf>
  </rcc>
</revisions>
</file>

<file path=xl/revisions/revisionLog1112111.xml><?xml version="1.0" encoding="utf-8"?>
<revisions xmlns="http://schemas.openxmlformats.org/spreadsheetml/2006/main" xmlns:r="http://schemas.openxmlformats.org/officeDocument/2006/relationships">
  <rcc rId="8" sId="1">
    <nc r="G251">
      <f>0.071317*1000</f>
    </nc>
  </rcc>
  <rcc rId="9" sId="1">
    <nc r="I251">
      <f>0.000656*1000</f>
    </nc>
  </rcc>
  <rcc rId="10" sId="2" odxf="1" dxf="1">
    <nc r="F254">
      <f>0.071317*1000</f>
    </nc>
    <odxf>
      <alignment horizontal="general" vertical="bottom" readingOrder="0"/>
    </odxf>
    <ndxf>
      <alignment horizontal="right" vertical="top" readingOrder="0"/>
    </ndxf>
  </rcc>
  <rcc rId="11" sId="2">
    <nc r="E254" t="inlineStr">
      <is>
        <t>5-2-А/16 от 30.12.2016</t>
      </is>
    </nc>
  </rcc>
  <rcc rId="12" sId="3">
    <nc r="E253" t="inlineStr">
      <is>
        <t>5-2-А/16 от 30.12.2016</t>
      </is>
    </nc>
  </rcc>
  <rcc rId="13" sId="3" odxf="1" dxf="1">
    <nc r="F253">
      <f>0.071317*1000</f>
    </nc>
    <odxf>
      <alignment horizontal="general" vertical="bottom" readingOrder="0"/>
    </odxf>
    <ndxf>
      <alignment horizontal="right" vertical="top" readingOrder="0"/>
    </ndxf>
  </rcc>
</revisions>
</file>

<file path=xl/revisions/revisionLog1113.xml><?xml version="1.0" encoding="utf-8"?>
<revisions xmlns="http://schemas.openxmlformats.org/spreadsheetml/2006/main" xmlns:r="http://schemas.openxmlformats.org/officeDocument/2006/relationships">
  <rcc rId="1308" sId="1">
    <nc r="G247">
      <f>0.915008*1000</f>
    </nc>
  </rcc>
  <rcc rId="1309" sId="1">
    <nc r="I247">
      <f>0.315438*1000</f>
    </nc>
  </rcc>
  <rcc rId="1310" sId="2" odxf="1" dxf="1">
    <nc r="F250">
      <f>0.915008*1000</f>
    </nc>
    <odxf>
      <font>
        <sz val="10"/>
      </font>
      <alignment horizontal="general" vertical="bottom" readingOrder="0"/>
    </odxf>
    <ndxf>
      <font>
        <sz val="10"/>
        <name val="Times New Roman"/>
        <scheme val="none"/>
      </font>
      <alignment horizontal="right" vertical="top" readingOrder="0"/>
    </ndxf>
  </rcc>
  <rcc rId="1311" sId="2">
    <nc r="E250" t="inlineStr">
      <is>
        <t>5-5/17 от 30.12.22016</t>
      </is>
    </nc>
  </rcc>
  <rcc rId="1312" sId="3">
    <nc r="E249" t="inlineStr">
      <is>
        <t>5-5/17 от 30.12.22016</t>
      </is>
    </nc>
  </rcc>
  <rcc rId="1313" sId="3" odxf="1" dxf="1">
    <nc r="F249">
      <f>0.915008*1000</f>
    </nc>
    <odxf>
      <font>
        <sz val="10"/>
      </font>
      <alignment horizontal="general" vertical="bottom" readingOrder="0"/>
    </odxf>
    <ndxf>
      <font>
        <sz val="10"/>
        <name val="Times New Roman"/>
        <scheme val="none"/>
      </font>
      <alignment horizontal="right" vertical="top" readingOrder="0"/>
    </ndxf>
  </rcc>
</revisions>
</file>

<file path=xl/revisions/revisionLog11131.xml><?xml version="1.0" encoding="utf-8"?>
<revisions xmlns="http://schemas.openxmlformats.org/spreadsheetml/2006/main" xmlns:r="http://schemas.openxmlformats.org/officeDocument/2006/relationships">
  <rcc rId="296" sId="1">
    <nc r="G95">
      <f>0.210617*1000</f>
    </nc>
  </rcc>
  <rcc rId="297" sId="1">
    <nc r="I95">
      <f>0.072804*1000</f>
    </nc>
  </rcc>
  <rcc rId="298" sId="2" odxf="1" dxf="1">
    <nc r="F95">
      <f>0.210617*1000</f>
    </nc>
    <odxf>
      <alignment horizontal="general" vertical="bottom" readingOrder="0"/>
    </odxf>
    <ndxf>
      <alignment horizontal="right" vertical="top" readingOrder="0"/>
    </ndxf>
  </rcc>
  <rcc rId="299" sId="2">
    <nc r="E95" t="inlineStr">
      <is>
        <t>5-36/16 от 30.12.2016</t>
      </is>
    </nc>
  </rcc>
  <rcc rId="300" sId="3">
    <nc r="E95" t="inlineStr">
      <is>
        <t>5-36/16 от 30.12.2016</t>
      </is>
    </nc>
  </rcc>
  <rcc rId="301" sId="3" odxf="1" dxf="1">
    <nc r="F95">
      <f>0.210617*1000</f>
    </nc>
    <odxf>
      <alignment horizontal="general" vertical="bottom" readingOrder="0"/>
    </odxf>
    <ndxf>
      <alignment horizontal="right" vertical="top" readingOrder="0"/>
    </ndxf>
  </rcc>
</revisions>
</file>

<file path=xl/revisions/revisionLog111311.xml><?xml version="1.0" encoding="utf-8"?>
<revisions xmlns="http://schemas.openxmlformats.org/spreadsheetml/2006/main" xmlns:r="http://schemas.openxmlformats.org/officeDocument/2006/relationships">
  <rcc rId="503" sId="1">
    <nc r="G235">
      <f>0.136262*1000</f>
    </nc>
  </rcc>
  <rcc rId="504" sId="1">
    <nc r="I235">
      <f>0.028444*1000</f>
    </nc>
  </rcc>
  <rcc rId="505" sId="2" odxf="1" dxf="1">
    <nc r="F238">
      <f>0.136262*1000</f>
    </nc>
    <odxf>
      <alignment horizontal="general" vertical="bottom" readingOrder="0"/>
    </odxf>
    <ndxf>
      <alignment horizontal="right" vertical="top" readingOrder="0"/>
    </ndxf>
  </rcc>
  <rcc rId="506" sId="2">
    <nc r="E238" t="inlineStr">
      <is>
        <t>321-ТМ/16 от 23.12.2016</t>
      </is>
    </nc>
  </rcc>
  <rcc rId="507" sId="3">
    <nc r="E237" t="inlineStr">
      <is>
        <t>321-ТМ/16 от 23.12.2016</t>
      </is>
    </nc>
  </rcc>
  <rcc rId="508" sId="3" odxf="1" dxf="1">
    <nc r="F237">
      <f>0.136262*1000</f>
    </nc>
    <odxf>
      <alignment horizontal="general" vertical="bottom" readingOrder="0"/>
    </odxf>
    <ndxf>
      <alignment horizontal="right" vertical="top" readingOrder="0"/>
    </ndxf>
  </rcc>
  <rcv guid="{586B0D0F-AFD5-489E-A810-F5CDD42644EC}" action="delete"/>
  <rcv guid="{586B0D0F-AFD5-489E-A810-F5CDD42644EC}" action="add"/>
</revisions>
</file>

<file path=xl/revisions/revisionLog112.xml><?xml version="1.0" encoding="utf-8"?>
<revisions xmlns="http://schemas.openxmlformats.org/spreadsheetml/2006/main" xmlns:r="http://schemas.openxmlformats.org/officeDocument/2006/relationships">
  <rcc rId="581" sId="1">
    <nc r="G189">
      <f>0.125083*1000</f>
    </nc>
  </rcc>
  <rcc rId="582" sId="1">
    <nc r="I189">
      <f>0.036638*1000</f>
    </nc>
  </rcc>
  <rcc rId="583" sId="2" odxf="1" dxf="1">
    <nc r="F191">
      <f>0.125083*1000</f>
    </nc>
    <odxf>
      <alignment horizontal="general" vertical="bottom" readingOrder="0"/>
    </odxf>
    <ndxf>
      <alignment horizontal="right" vertical="top" readingOrder="0"/>
    </ndxf>
  </rcc>
  <rcc rId="584" sId="2">
    <nc r="E191" t="inlineStr">
      <is>
        <t>338-ТМ/16 от 23.12.216</t>
      </is>
    </nc>
  </rcc>
  <rcc rId="585" sId="3">
    <nc r="E190" t="inlineStr">
      <is>
        <t>338-ТМ/16 от 23.12.216</t>
      </is>
    </nc>
  </rcc>
  <rcc rId="586" sId="3" odxf="1" dxf="1">
    <nc r="F190">
      <f>0.125083*1000</f>
    </nc>
    <odxf>
      <alignment horizontal="general" vertical="bottom" readingOrder="0"/>
    </odxf>
    <ndxf>
      <alignment horizontal="right" vertical="top" readingOrder="0"/>
    </ndxf>
  </rcc>
  <rcc rId="587" sId="1">
    <nc r="I217">
      <f>0.040915*1000</f>
    </nc>
  </rcc>
  <rcc rId="588" sId="1">
    <nc r="G217">
      <f>0.157189*1000</f>
    </nc>
  </rcc>
  <rcc rId="589" sId="2" odxf="1" dxf="1">
    <nc r="F220">
      <f>0.157189*1000</f>
    </nc>
    <odxf>
      <alignment horizontal="general" vertical="bottom" readingOrder="0"/>
    </odxf>
    <ndxf>
      <alignment horizontal="right" vertical="top" readingOrder="0"/>
    </ndxf>
  </rcc>
  <rcc rId="590" sId="2">
    <nc r="E220" t="inlineStr">
      <is>
        <t>339-ТМ/16 от 23.12.2016</t>
      </is>
    </nc>
  </rcc>
  <rcc rId="591" sId="3">
    <nc r="E219" t="inlineStr">
      <is>
        <t>339-ТМ/16 от 23.12.2016</t>
      </is>
    </nc>
  </rcc>
  <rcc rId="592" sId="3" odxf="1" dxf="1">
    <nc r="F219">
      <f>0.157189*1000</f>
    </nc>
    <odxf>
      <alignment horizontal="general" vertical="bottom" readingOrder="0"/>
    </odxf>
    <ndxf>
      <alignment horizontal="right" vertical="top" readingOrder="0"/>
    </ndxf>
  </rcc>
  <rm rId="593" sheetId="1" source="G189" destination="G188" sourceSheetId="1">
    <undo index="0" exp="ref" v="1" dr="G188" r="F188" sId="1"/>
    <undo index="0" exp="ref" v="1" dr="G188" r="H188" sId="1"/>
    <rfmt sheetId="1" sqref="G188" start="0" length="0">
      <dxf>
        <font>
          <sz val="10"/>
          <color theme="1"/>
          <name val="Calibri"/>
          <scheme val="minor"/>
        </font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m rId="594" sheetId="1" source="I189" destination="I188" sourceSheetId="1">
    <undo index="1" exp="ref" v="1" dr="I188" r="H188" sId="1"/>
    <rfmt sheetId="1" sqref="I188" start="0" length="0">
      <dxf>
        <font>
          <sz val="10"/>
          <color theme="1"/>
          <name val="Calibri"/>
          <scheme val="minor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cc rId="595" sId="1">
    <oc r="H188">
      <f>#REF!-#REF!</f>
    </oc>
    <nc r="H188">
      <f>G188-I188</f>
    </nc>
  </rcc>
  <rcc rId="596" sId="1">
    <oc r="H189">
      <f>G188-I188</f>
    </oc>
    <nc r="H189">
      <f>G189-I189</f>
    </nc>
  </rcc>
  <rcc rId="597" sId="1">
    <oc r="H190">
      <f>G190-I190</f>
    </oc>
    <nc r="H190">
      <f>G190-I190</f>
    </nc>
  </rcc>
  <rcc rId="598" sId="1">
    <oc r="F188">
      <f>#REF!</f>
    </oc>
    <nc r="F188">
      <f>G188</f>
    </nc>
  </rcc>
  <rcc rId="599" sId="1">
    <oc r="F189">
      <f>G188</f>
    </oc>
    <nc r="F189">
      <f>G189</f>
    </nc>
  </rcc>
  <rcc rId="600" sId="1">
    <oc r="F190">
      <f>G190</f>
    </oc>
    <nc r="F190">
      <f>G190</f>
    </nc>
  </rcc>
  <rcc rId="601" sId="1">
    <oc r="F191">
      <f>G191</f>
    </oc>
    <nc r="F191">
      <f>G191</f>
    </nc>
  </rcc>
  <rcc rId="602" sId="1" odxf="1" dxf="1">
    <nc r="G189">
      <f>0.125083*1000</f>
    </nc>
    <odxf>
      <font>
        <sz val="12"/>
      </font>
      <border outline="0">
        <left/>
        <right/>
        <top/>
        <bottom/>
      </border>
    </odxf>
    <ndxf>
      <font>
        <sz val="10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603" sId="1" odxf="1" dxf="1">
    <nc r="I189">
      <f>0.036638*1000</f>
    </nc>
    <odxf>
      <font>
        <sz val="12"/>
      </font>
      <alignment horizontal="general" vertical="bottom" readingOrder="0"/>
      <border outline="0">
        <left/>
        <right/>
        <top/>
        <bottom/>
      </border>
    </odxf>
    <ndxf>
      <font>
        <sz val="10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F192" start="0" length="0">
    <dxf>
      <alignment horizontal="center" vertical="top" readingOrder="0"/>
    </dxf>
  </rfmt>
  <rcc rId="604" sId="2">
    <nc r="E192" t="inlineStr">
      <is>
        <t>340-ТМ/16 от 23.12.216</t>
      </is>
    </nc>
  </rcc>
  <rcc rId="605" sId="2" odxf="1" dxf="1">
    <nc r="F192">
      <f>0.125083*1000</f>
    </nc>
    <ndxf>
      <alignment horizontal="right" readingOrder="0"/>
    </ndxf>
  </rcc>
  <rcc rId="606" sId="3">
    <nc r="E191" t="inlineStr">
      <is>
        <t>340-ТМ/16 от 23.12.216</t>
      </is>
    </nc>
  </rcc>
  <rcc rId="607" sId="3" odxf="1" dxf="1">
    <nc r="F191">
      <f>0.125083*1000</f>
    </nc>
    <odxf>
      <alignment horizontal="general" vertical="bottom" readingOrder="0"/>
    </odxf>
    <ndxf>
      <alignment horizontal="right" vertical="top" readingOrder="0"/>
    </ndxf>
  </rcc>
  <rcv guid="{586B0D0F-AFD5-489E-A810-F5CDD42644EC}" action="delete"/>
  <rcv guid="{586B0D0F-AFD5-489E-A810-F5CDD42644EC}" action="add"/>
</revisions>
</file>

<file path=xl/revisions/revisionLog1121.xml><?xml version="1.0" encoding="utf-8"?>
<revisions xmlns="http://schemas.openxmlformats.org/spreadsheetml/2006/main" xmlns:r="http://schemas.openxmlformats.org/officeDocument/2006/relationships">
  <rcc rId="314" sId="1">
    <nc r="G100">
      <f>0.166425*1000</f>
    </nc>
  </rcc>
  <rcc rId="315" sId="1">
    <nc r="I100">
      <f>0.074606*1000</f>
    </nc>
  </rcc>
  <rcc rId="316" sId="2" odxf="1" dxf="1">
    <nc r="F100">
      <f>0.166425*1000</f>
    </nc>
    <odxf>
      <alignment horizontal="general" vertical="bottom" readingOrder="0"/>
    </odxf>
    <ndxf>
      <alignment horizontal="right" vertical="top" readingOrder="0"/>
    </ndxf>
  </rcc>
  <rcc rId="317" sId="2">
    <nc r="E100" t="inlineStr">
      <is>
        <t>5-39/16 от 30.12.2016</t>
      </is>
    </nc>
  </rcc>
  <rcc rId="318" sId="3">
    <nc r="E100" t="inlineStr">
      <is>
        <t>5-39/16 от 30.12.2016</t>
      </is>
    </nc>
  </rcc>
  <rcc rId="319" sId="3" odxf="1" dxf="1">
    <nc r="F100">
      <f>0.166425*1000</f>
    </nc>
    <odxf>
      <alignment horizontal="general" vertical="bottom" readingOrder="0"/>
    </odxf>
    <ndxf>
      <alignment horizontal="right" vertical="top" readingOrder="0"/>
    </ndxf>
  </rcc>
</revisions>
</file>

<file path=xl/revisions/revisionLog11211.xml><?xml version="1.0" encoding="utf-8"?>
<revisions xmlns="http://schemas.openxmlformats.org/spreadsheetml/2006/main" xmlns:r="http://schemas.openxmlformats.org/officeDocument/2006/relationships">
  <rcc rId="278" sId="1">
    <nc r="G92">
      <f>0.22501*1000</f>
    </nc>
  </rcc>
  <rcc rId="279" sId="1">
    <nc r="I92">
      <f>0.071552*1000</f>
    </nc>
  </rcc>
  <rcc rId="280" sId="2" odxf="1" dxf="1">
    <nc r="F92">
      <f>0.22501*1000</f>
    </nc>
    <odxf>
      <alignment horizontal="general" vertical="bottom" readingOrder="0"/>
    </odxf>
    <ndxf>
      <alignment horizontal="right" vertical="top" readingOrder="0"/>
    </ndxf>
  </rcc>
  <rcc rId="281" sId="2">
    <nc r="E92" t="inlineStr">
      <is>
        <t>5-29/16 от 30.12.2016</t>
      </is>
    </nc>
  </rcc>
  <rcc rId="282" sId="3">
    <nc r="E92" t="inlineStr">
      <is>
        <t>5-29/16 от 30.12.2016</t>
      </is>
    </nc>
  </rcc>
  <rcc rId="283" sId="3" odxf="1" dxf="1">
    <nc r="F92">
      <f>0.22501*1000</f>
    </nc>
    <odxf>
      <alignment horizontal="general" vertical="bottom" readingOrder="0"/>
    </odxf>
    <ndxf>
      <alignment horizontal="right" vertical="top" readingOrder="0"/>
    </ndxf>
  </rcc>
  <rcc rId="284" sId="1">
    <nc r="G93">
      <f>0.195917*1000</f>
    </nc>
  </rcc>
  <rcc rId="285" sId="1">
    <nc r="I93">
      <f>0.066302*1000</f>
    </nc>
  </rcc>
  <rcc rId="286" sId="2" odxf="1" dxf="1">
    <nc r="F93">
      <f>0.195917*1000</f>
    </nc>
    <odxf>
      <alignment horizontal="general" vertical="bottom" readingOrder="0"/>
    </odxf>
    <ndxf>
      <alignment horizontal="right" vertical="top" readingOrder="0"/>
    </ndxf>
  </rcc>
  <rcc rId="287" sId="2">
    <nc r="E93" t="inlineStr">
      <is>
        <t>5-27/16 от 30.12.2016</t>
      </is>
    </nc>
  </rcc>
  <rcc rId="288" sId="3">
    <nc r="E93" t="inlineStr">
      <is>
        <t>5-27/16 от 30.12.2016</t>
      </is>
    </nc>
  </rcc>
  <rcc rId="289" sId="3" odxf="1" dxf="1">
    <nc r="F93">
      <f>0.195917*1000</f>
    </nc>
    <odxf>
      <alignment horizontal="general" vertical="bottom" readingOrder="0"/>
    </odxf>
    <ndxf>
      <alignment horizontal="right" vertical="top" readingOrder="0"/>
    </ndxf>
  </rcc>
</revisions>
</file>

<file path=xl/revisions/revisionLog11212.xml><?xml version="1.0" encoding="utf-8"?>
<revisions xmlns="http://schemas.openxmlformats.org/spreadsheetml/2006/main" xmlns:r="http://schemas.openxmlformats.org/officeDocument/2006/relationships">
  <rcc rId="290" sId="1">
    <nc r="G94">
      <f>0.319636*1000</f>
    </nc>
  </rcc>
  <rcc rId="291" sId="1">
    <nc r="I94">
      <f>0.101593*1000</f>
    </nc>
  </rcc>
  <rcc rId="292" sId="2" odxf="1" dxf="1">
    <nc r="F94">
      <f>0.319636*1000</f>
    </nc>
    <odxf>
      <alignment horizontal="general" vertical="bottom" readingOrder="0"/>
    </odxf>
    <ndxf>
      <alignment horizontal="right" vertical="top" readingOrder="0"/>
    </ndxf>
  </rcc>
  <rcc rId="293" sId="2">
    <nc r="E94" t="inlineStr">
      <is>
        <t>5-37/16 от 30.12.2016</t>
      </is>
    </nc>
  </rcc>
  <rcc rId="294" sId="3">
    <nc r="E94" t="inlineStr">
      <is>
        <t>5-37/16 от 30.12.2016</t>
      </is>
    </nc>
  </rcc>
  <rcc rId="295" sId="3" odxf="1" dxf="1">
    <nc r="F94">
      <f>0.319636*1000</f>
    </nc>
    <odxf>
      <alignment horizontal="general" vertical="bottom" readingOrder="0"/>
    </odxf>
    <ndxf>
      <alignment horizontal="right" vertical="top" readingOrder="0"/>
    </ndxf>
  </rcc>
</revisions>
</file>

<file path=xl/revisions/revisionLog113.xml><?xml version="1.0" encoding="utf-8"?>
<revisions xmlns="http://schemas.openxmlformats.org/spreadsheetml/2006/main" xmlns:r="http://schemas.openxmlformats.org/officeDocument/2006/relationships">
  <rcc rId="638" sId="1">
    <nc r="I233">
      <f>0.081831*1000</f>
    </nc>
  </rcc>
  <rcc rId="639" sId="1">
    <nc r="G233">
      <f>0.315133*1000</f>
    </nc>
  </rcc>
  <rcc rId="640" sId="2" odxf="1" dxf="1">
    <nc r="F236">
      <f>0.315133*1000</f>
    </nc>
    <odxf>
      <alignment horizontal="general" vertical="bottom" readingOrder="0"/>
    </odxf>
    <ndxf>
      <alignment horizontal="right" vertical="top" readingOrder="0"/>
    </ndxf>
  </rcc>
  <rcc rId="641" sId="2">
    <nc r="E236" t="inlineStr">
      <is>
        <t>330-ТМ/16 от 23.12.2016</t>
      </is>
    </nc>
  </rcc>
  <rcc rId="642" sId="3">
    <nc r="E235" t="inlineStr">
      <is>
        <t>330-ТМ/16 от 23.12.2016</t>
      </is>
    </nc>
  </rcc>
  <rcc rId="643" sId="3" odxf="1" dxf="1">
    <nc r="F235">
      <f>0.315133*1000</f>
    </nc>
    <odxf>
      <alignment horizontal="general" vertical="bottom" readingOrder="0"/>
    </odxf>
    <ndxf>
      <alignment horizontal="right" vertical="top" readingOrder="0"/>
    </ndxf>
  </rcc>
  <rcv guid="{586B0D0F-AFD5-489E-A810-F5CDD42644EC}" action="delete"/>
  <rcv guid="{586B0D0F-AFD5-489E-A810-F5CDD42644EC}" action="add"/>
</revisions>
</file>

<file path=xl/revisions/revisionLog1131.xml><?xml version="1.0" encoding="utf-8"?>
<revisions xmlns="http://schemas.openxmlformats.org/spreadsheetml/2006/main" xmlns:r="http://schemas.openxmlformats.org/officeDocument/2006/relationships">
  <rcc rId="406" sId="1">
    <nc r="I201">
      <f>0.040915*1000</f>
    </nc>
  </rcc>
  <rcc rId="407" sId="1">
    <nc r="G201">
      <f>0.157566*1000</f>
    </nc>
  </rcc>
  <rcc rId="408" sId="2" odxf="1" dxf="1">
    <nc r="F204">
      <f>0.157566*1000</f>
    </nc>
    <odxf>
      <alignment horizontal="general" vertical="bottom" readingOrder="0"/>
    </odxf>
    <ndxf>
      <alignment horizontal="right" vertical="top" readingOrder="0"/>
    </ndxf>
  </rcc>
  <rcc rId="409" sId="2">
    <nc r="E204" t="inlineStr">
      <is>
        <t>299-ТМ/16 от 23.12.2016</t>
      </is>
    </nc>
  </rcc>
  <rcc rId="410" sId="3">
    <nc r="E203" t="inlineStr">
      <is>
        <t>299-ТМ/16 от 23.12.2016</t>
      </is>
    </nc>
  </rcc>
  <rcc rId="411" sId="3" odxf="1" dxf="1">
    <nc r="F203">
      <f>0.157566*1000</f>
    </nc>
    <odxf>
      <alignment horizontal="general" vertical="bottom" readingOrder="0"/>
    </odxf>
    <ndxf>
      <alignment horizontal="right" vertical="top" readingOrder="0"/>
    </ndxf>
  </rcc>
</revisions>
</file>

<file path=xl/revisions/revisionLog11311.xml><?xml version="1.0" encoding="utf-8"?>
<revisions xmlns="http://schemas.openxmlformats.org/spreadsheetml/2006/main" xmlns:r="http://schemas.openxmlformats.org/officeDocument/2006/relationships">
  <rcc rId="38" sId="1">
    <nc r="G256">
      <f>0.024947*1000</f>
    </nc>
  </rcc>
  <rcc rId="39" sId="1">
    <nc r="I256">
      <f>0.000256*1000</f>
    </nc>
  </rcc>
  <rcc rId="40" sId="2" odxf="1" dxf="1">
    <nc r="F259">
      <f>0.024947*1000</f>
    </nc>
    <odxf>
      <alignment horizontal="general" vertical="bottom" readingOrder="0"/>
    </odxf>
    <ndxf>
      <alignment horizontal="right" vertical="top" readingOrder="0"/>
    </ndxf>
  </rcc>
  <rcc rId="41" sId="2">
    <nc r="E259" t="inlineStr">
      <is>
        <t>5-40-А/16 от 30.12.2016</t>
      </is>
    </nc>
  </rcc>
  <rcc rId="42" sId="3">
    <nc r="E258" t="inlineStr">
      <is>
        <t>5-40-А/16 от 30.12.2016</t>
      </is>
    </nc>
  </rcc>
  <rcc rId="43" sId="3" odxf="1" dxf="1">
    <nc r="F258">
      <f>0.024947*1000</f>
    </nc>
    <odxf>
      <alignment horizontal="general" vertical="bottom" readingOrder="0"/>
    </odxf>
    <ndxf>
      <alignment horizontal="right" vertical="top" readingOrder="0"/>
    </ndxf>
  </rcc>
</revisions>
</file>

<file path=xl/revisions/revisionLog11312.xml><?xml version="1.0" encoding="utf-8"?>
<revisions xmlns="http://schemas.openxmlformats.org/spreadsheetml/2006/main" xmlns:r="http://schemas.openxmlformats.org/officeDocument/2006/relationships">
  <rcc rId="308" sId="1">
    <nc r="G98">
      <f>0.166425*1000</f>
    </nc>
  </rcc>
  <rcc rId="309" sId="1">
    <nc r="I98">
      <f>0.074606*1000</f>
    </nc>
  </rcc>
  <rcc rId="310" sId="2" odxf="1" dxf="1">
    <nc r="F98">
      <f>0.166425*1000</f>
    </nc>
    <odxf>
      <alignment horizontal="general" vertical="bottom" readingOrder="0"/>
    </odxf>
    <ndxf>
      <alignment horizontal="right" vertical="top" readingOrder="0"/>
    </ndxf>
  </rcc>
  <rcc rId="311" sId="2">
    <nc r="E98" t="inlineStr">
      <is>
        <t>5-40/16 от 30.12.2016</t>
      </is>
    </nc>
  </rcc>
  <rcc rId="312" sId="3">
    <nc r="E98" t="inlineStr">
      <is>
        <t>5-40/16 от 30.12.2016</t>
      </is>
    </nc>
  </rcc>
  <rcc rId="313" sId="3" odxf="1" dxf="1">
    <nc r="F98">
      <f>0.166425*1000</f>
    </nc>
    <odxf>
      <alignment horizontal="general" vertical="bottom" readingOrder="0"/>
    </odxf>
    <ndxf>
      <alignment horizontal="right" vertical="top" readingOrder="0"/>
    </ndxf>
  </rcc>
</revisions>
</file>

<file path=xl/revisions/revisionLog114.xml><?xml version="1.0" encoding="utf-8"?>
<revisions xmlns="http://schemas.openxmlformats.org/spreadsheetml/2006/main" xmlns:r="http://schemas.openxmlformats.org/officeDocument/2006/relationships">
  <rcv guid="{586B0D0F-AFD5-489E-A810-F5CDD42644EC}" action="delete"/>
  <rcv guid="{586B0D0F-AFD5-489E-A810-F5CDD42644EC}" action="add"/>
</revisions>
</file>

<file path=xl/revisions/revisionLog1141.xml><?xml version="1.0" encoding="utf-8"?>
<revisions xmlns="http://schemas.openxmlformats.org/spreadsheetml/2006/main" xmlns:r="http://schemas.openxmlformats.org/officeDocument/2006/relationships">
  <rcc rId="483" sId="3">
    <nc r="E212" t="inlineStr">
      <is>
        <t>312-ТМ/16 от 23.12.2016</t>
      </is>
    </nc>
  </rcc>
  <rcc rId="484" sId="3" odxf="1" dxf="1">
    <nc r="F212">
      <f>0.157189*1000</f>
    </nc>
    <odxf>
      <alignment horizontal="general" vertical="bottom" readingOrder="0"/>
    </odxf>
    <ndxf>
      <alignment horizontal="right" vertical="top" readingOrder="0"/>
    </ndxf>
  </rcc>
  <rcc rId="485" sId="1">
    <nc r="G211">
      <f>0.157189*1000</f>
    </nc>
  </rcc>
  <rcc rId="486" sId="1">
    <nc r="I211">
      <f>0.040915*1000</f>
    </nc>
  </rcc>
  <rcc rId="487" sId="2" odxf="1" dxf="1">
    <nc r="F214">
      <f>0.157189*1000</f>
    </nc>
    <odxf>
      <alignment horizontal="general" vertical="bottom" readingOrder="0"/>
    </odxf>
    <ndxf>
      <alignment horizontal="right" vertical="top" readingOrder="0"/>
    </ndxf>
  </rcc>
  <rcc rId="488" sId="2">
    <nc r="E214" t="inlineStr">
      <is>
        <t>313-ТМ/16 от 23.12.2016</t>
      </is>
    </nc>
  </rcc>
  <rcc rId="489" sId="3">
    <nc r="E213" t="inlineStr">
      <is>
        <t>313-ТМ/16 от 23.12.2016</t>
      </is>
    </nc>
  </rcc>
  <rcc rId="490" sId="3" odxf="1" dxf="1">
    <nc r="F213">
      <f>0.157189*1000</f>
    </nc>
    <odxf>
      <alignment horizontal="general" vertical="bottom" readingOrder="0"/>
    </odxf>
    <ndxf>
      <alignment horizontal="right" vertical="top" readingOrder="0"/>
    </ndxf>
  </rcc>
  <rcv guid="{586B0D0F-AFD5-489E-A810-F5CDD42644EC}" action="delete"/>
  <rcv guid="{586B0D0F-AFD5-489E-A810-F5CDD42644EC}" action="add"/>
</revisions>
</file>

<file path=xl/revisions/revisionLog11411.xml><?xml version="1.0" encoding="utf-8"?>
<revisions xmlns="http://schemas.openxmlformats.org/spreadsheetml/2006/main" xmlns:r="http://schemas.openxmlformats.org/officeDocument/2006/relationships">
  <rcc rId="302" sId="1">
    <nc r="G96">
      <f>0.168353*1000</f>
    </nc>
  </rcc>
  <rcc rId="303" sId="1">
    <nc r="I96">
      <f>0.060011*1000</f>
    </nc>
  </rcc>
  <rcc rId="304" sId="2" odxf="1" dxf="1">
    <nc r="F96">
      <f>0.168353*1000</f>
    </nc>
    <odxf>
      <alignment horizontal="general" vertical="bottom" readingOrder="0"/>
    </odxf>
    <ndxf>
      <alignment horizontal="right" vertical="top" readingOrder="0"/>
    </ndxf>
  </rcc>
  <rcc rId="305" sId="2">
    <nc r="E96" t="inlineStr">
      <is>
        <t>5-38/16 от 30.12.2016</t>
      </is>
    </nc>
  </rcc>
  <rcc rId="306" sId="3">
    <nc r="E96" t="inlineStr">
      <is>
        <t>5-38/16 от 30.12.2016</t>
      </is>
    </nc>
  </rcc>
  <rcc rId="307" sId="3" odxf="1" dxf="1">
    <nc r="F96">
      <f>0.168353*1000</f>
    </nc>
    <odxf>
      <alignment horizontal="general" vertical="bottom" readingOrder="0"/>
    </odxf>
    <ndxf>
      <alignment horizontal="right" vertical="top" readingOrder="0"/>
    </ndxf>
  </rcc>
</revisions>
</file>

<file path=xl/revisions/revisionLog11412.xml><?xml version="1.0" encoding="utf-8"?>
<revisions xmlns="http://schemas.openxmlformats.org/spreadsheetml/2006/main" xmlns:r="http://schemas.openxmlformats.org/officeDocument/2006/relationships">
  <rcc rId="362" sId="1">
    <nc r="G195">
      <f>0.157048*1000</f>
    </nc>
  </rcc>
  <rcc rId="363" sId="1">
    <nc r="I195">
      <f>0.04923*1000</f>
    </nc>
  </rcc>
  <rcc rId="364" sId="2" odxf="1" dxf="1">
    <nc r="F198">
      <f>0.157048*1000</f>
    </nc>
    <odxf>
      <alignment horizontal="general" vertical="bottom" readingOrder="0"/>
    </odxf>
    <ndxf>
      <alignment horizontal="right" vertical="top" readingOrder="0"/>
    </ndxf>
  </rcc>
  <rcc rId="365" sId="2">
    <nc r="E198" t="inlineStr">
      <is>
        <t>292-ТМ/16 от 23.12.216</t>
      </is>
    </nc>
  </rcc>
  <rcc rId="366" sId="3">
    <nc r="E197" t="inlineStr">
      <is>
        <t>292-ТМ/16 от 23.12.216</t>
      </is>
    </nc>
  </rcc>
  <rcc rId="367" sId="3" odxf="1" dxf="1">
    <nc r="F197">
      <f>0.157048*1000</f>
    </nc>
    <odxf>
      <alignment horizontal="general" vertical="bottom" readingOrder="0"/>
    </odxf>
    <ndxf>
      <alignment horizontal="right" vertical="top" readingOrder="0"/>
    </ndxf>
  </rcc>
</revisions>
</file>

<file path=xl/revisions/revisionLog1142.xml><?xml version="1.0" encoding="utf-8"?>
<revisions xmlns="http://schemas.openxmlformats.org/spreadsheetml/2006/main" xmlns:r="http://schemas.openxmlformats.org/officeDocument/2006/relationships">
  <rrc rId="1806" sId="2" ref="A186:XFD186" action="deleteRow">
    <rfmt sheetId="2" xfDxf="1" sqref="A186:XFD186" start="0" length="0">
      <dxf>
        <font>
          <sz val="12"/>
          <name val="Times New Roman"/>
          <scheme val="none"/>
        </font>
      </dxf>
    </rfmt>
    <rcc rId="0" sId="2" dxf="1">
      <nc r="B186" t="inlineStr">
        <is>
          <t>ИТОГО по мероприятию</t>
        </is>
      </nc>
      <ndxf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C186" start="0" length="0">
      <dxf>
        <font>
          <sz val="10"/>
          <name val="Times New Roman"/>
          <scheme val="none"/>
        </font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86" start="0" length="0">
      <dxf>
        <font>
          <sz val="10"/>
          <name val="Times New Roman"/>
          <scheme val="none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86" start="0" length="0">
      <dxf>
        <font>
          <sz val="10"/>
          <name val="Times New Roman"/>
          <scheme val="none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86" start="0" length="0">
      <dxf>
        <font>
          <sz val="10"/>
          <name val="Times New Roman"/>
          <scheme val="none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G186" t="inlineStr">
        <is>
          <t>-</t>
        </is>
      </nc>
      <ndxf>
        <font>
          <sz val="10"/>
          <name val="Times New Roman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186" t="inlineStr">
        <is>
          <t>-</t>
        </is>
      </nc>
      <ndxf>
        <font>
          <sz val="10"/>
          <name val="Times New Roman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186" t="inlineStr">
        <is>
          <t>-</t>
        </is>
      </nc>
      <ndxf>
        <font>
          <sz val="10"/>
          <name val="Times New Roman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186" t="inlineStr">
        <is>
          <t>-</t>
        </is>
      </nc>
      <ndxf>
        <font>
          <sz val="10"/>
          <name val="Times New Roman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fmt sheetId="2" sqref="B5:B265" start="0" length="0">
    <dxf>
      <border>
        <left style="thin">
          <color indexed="64"/>
        </left>
      </border>
    </dxf>
  </rfmt>
  <rfmt sheetId="2" sqref="B5:J265">
    <dxf>
      <border>
        <top style="thin">
          <color indexed="64"/>
        </top>
        <bottom style="thin">
          <color indexed="64"/>
        </bottom>
        <horizontal style="thin">
          <color indexed="64"/>
        </horizontal>
      </border>
    </dxf>
  </rfmt>
  <rfmt sheetId="1" sqref="B4:B263" start="0" length="0">
    <dxf>
      <border>
        <left style="thin">
          <color indexed="64"/>
        </left>
      </border>
    </dxf>
  </rfmt>
  <rcc rId="1807" sId="1">
    <oc r="A24" t="inlineStr">
      <is>
        <t>!</t>
      </is>
    </oc>
    <nc r="A24"/>
  </rcc>
  <rcv guid="{586B0D0F-AFD5-489E-A810-F5CDD42644EC}" action="delete"/>
  <rcv guid="{586B0D0F-AFD5-489E-A810-F5CDD42644EC}" action="add"/>
</revisions>
</file>

<file path=xl/revisions/revisionLog11421.xml><?xml version="1.0" encoding="utf-8"?>
<revisions xmlns="http://schemas.openxmlformats.org/spreadsheetml/2006/main" xmlns:r="http://schemas.openxmlformats.org/officeDocument/2006/relationships">
  <rcc rId="1789" sId="3">
    <nc r="E40" t="inlineStr">
      <is>
        <t>5-254/15 от 30.12.2016</t>
      </is>
    </nc>
  </rcc>
  <rcc rId="1790" sId="3" odxf="1" dxf="1">
    <nc r="F40">
      <f>0.088853*1000</f>
    </nc>
    <odxf>
      <alignment horizontal="general" vertical="bottom" readingOrder="0"/>
    </odxf>
    <ndxf>
      <alignment horizontal="right" vertical="top" readingOrder="0"/>
    </ndxf>
  </rcc>
</revisions>
</file>

<file path=xl/revisions/revisionLog114211.xml><?xml version="1.0" encoding="utf-8"?>
<revisions xmlns="http://schemas.openxmlformats.org/spreadsheetml/2006/main" xmlns:r="http://schemas.openxmlformats.org/officeDocument/2006/relationships">
  <rcc rId="666" sId="3">
    <nc r="E247" t="inlineStr">
      <is>
        <t>352-ТМ/16 от 23.12.2016</t>
      </is>
    </nc>
  </rcc>
  <rcc rId="667" sId="3" odxf="1" dxf="1">
    <nc r="F247">
      <f>0.157566*1000</f>
    </nc>
    <odxf>
      <alignment horizontal="general" vertical="bottom" readingOrder="0"/>
    </odxf>
    <ndxf>
      <alignment horizontal="right" vertical="top" readingOrder="0"/>
    </ndxf>
  </rcc>
  <rcc rId="668" sId="1">
    <nc r="I241">
      <f>0.040915*1000</f>
    </nc>
  </rcc>
  <rcc rId="669" sId="1">
    <nc r="G241">
      <f>0.157566*1000</f>
    </nc>
  </rcc>
  <rcc rId="670" sId="2" odxf="1" dxf="1">
    <nc r="F244">
      <f>0.157566*1000</f>
    </nc>
    <odxf>
      <alignment horizontal="general" vertical="bottom" readingOrder="0"/>
    </odxf>
    <ndxf>
      <alignment horizontal="right" vertical="top" readingOrder="0"/>
    </ndxf>
  </rcc>
  <rcc rId="671" sId="2">
    <nc r="E244" t="inlineStr">
      <is>
        <t>348-ТМ/16 от 23.12.2016</t>
      </is>
    </nc>
  </rcc>
  <rcc rId="672" sId="3">
    <nc r="E243" t="inlineStr">
      <is>
        <t>348-ТМ/16 от 23.12.2016</t>
      </is>
    </nc>
  </rcc>
  <rcc rId="673" sId="3" odxf="1" dxf="1">
    <nc r="F243">
      <f>0.157566*1000</f>
    </nc>
    <odxf>
      <alignment horizontal="general" vertical="bottom" readingOrder="0"/>
    </odxf>
    <ndxf>
      <alignment horizontal="right" vertical="top" readingOrder="0"/>
    </ndxf>
  </rcc>
  <rcv guid="{586B0D0F-AFD5-489E-A810-F5CDD42644EC}" action="delete"/>
  <rcv guid="{586B0D0F-AFD5-489E-A810-F5CDD42644EC}" action="add"/>
</revisions>
</file>

<file path=xl/revisions/revisionLog115.xml><?xml version="1.0" encoding="utf-8"?>
<revisions xmlns="http://schemas.openxmlformats.org/spreadsheetml/2006/main" xmlns:r="http://schemas.openxmlformats.org/officeDocument/2006/relationships">
  <rcc rId="533" sId="1">
    <nc r="I226">
      <f>0.05431*1000</f>
    </nc>
  </rcc>
  <rcc rId="534" sId="1">
    <nc r="G226">
      <f>0.179794*1000</f>
    </nc>
  </rcc>
  <rcc rId="535" sId="2" odxf="1" dxf="1">
    <nc r="F229">
      <f>0.179794*1000</f>
    </nc>
    <odxf>
      <alignment horizontal="general" vertical="bottom" readingOrder="0"/>
    </odxf>
    <ndxf>
      <alignment horizontal="right" vertical="top" readingOrder="0"/>
    </ndxf>
  </rcc>
  <rcc rId="536" sId="2">
    <nc r="E229" t="inlineStr">
      <is>
        <t>326-ТМ/16 от 23.12.2016</t>
      </is>
    </nc>
  </rcc>
  <rcc rId="537" sId="3">
    <nc r="E228" t="inlineStr">
      <is>
        <t>326-ТМ/16 от 23.12.2016</t>
      </is>
    </nc>
  </rcc>
  <rcc rId="538" sId="3" odxf="1" dxf="1">
    <nc r="F228">
      <f>0.179794*1000</f>
    </nc>
    <odxf>
      <alignment horizontal="general" vertical="bottom" readingOrder="0"/>
    </odxf>
    <ndxf>
      <alignment horizontal="right" vertical="top" readingOrder="0"/>
    </ndxf>
  </rcc>
  <rcv guid="{586B0D0F-AFD5-489E-A810-F5CDD42644EC}" action="delete"/>
  <rcv guid="{586B0D0F-AFD5-489E-A810-F5CDD42644EC}" action="add"/>
</revisions>
</file>

<file path=xl/revisions/revisionLog1151.xml><?xml version="1.0" encoding="utf-8"?>
<revisions xmlns="http://schemas.openxmlformats.org/spreadsheetml/2006/main" xmlns:r="http://schemas.openxmlformats.org/officeDocument/2006/relationships">
  <rcc rId="399" sId="1">
    <nc r="G197">
      <f>0.157566*1000</f>
    </nc>
  </rcc>
  <rcc rId="400" sId="1">
    <nc r="I197">
      <f>0.040915*1000</f>
    </nc>
  </rcc>
  <rcc rId="401" sId="2" odxf="1" dxf="1">
    <nc r="F200">
      <f>0.157566*1000</f>
    </nc>
    <odxf>
      <alignment horizontal="general" vertical="bottom" readingOrder="0"/>
    </odxf>
    <ndxf>
      <alignment horizontal="right" vertical="top" readingOrder="0"/>
    </ndxf>
  </rcc>
  <rcc rId="402" sId="2">
    <oc r="E199" t="inlineStr">
      <is>
        <t>2926-ТМ/16 от 23.12.216</t>
      </is>
    </oc>
    <nc r="E199" t="inlineStr">
      <is>
        <t>292-ТМ/16 от 23.12.216</t>
      </is>
    </nc>
  </rcc>
  <rcc rId="403" sId="3" odxf="1" dxf="1">
    <nc r="F199">
      <f>0.157566*1000</f>
    </nc>
    <odxf>
      <alignment horizontal="general" vertical="bottom" readingOrder="0"/>
    </odxf>
    <ndxf>
      <alignment horizontal="right" vertical="top" readingOrder="0"/>
    </ndxf>
  </rcc>
  <rcc rId="404" sId="3">
    <nc r="E199" t="inlineStr">
      <is>
        <t>298-ТМ/16 от 23.12.2015</t>
      </is>
    </nc>
  </rcc>
  <rcc rId="405" sId="2">
    <nc r="E200" t="inlineStr">
      <is>
        <t>298-ТМ/16 от 23.12.2015</t>
      </is>
    </nc>
  </rcc>
</revisions>
</file>

<file path=xl/revisions/revisionLog11511.xml><?xml version="1.0" encoding="utf-8"?>
<revisions xmlns="http://schemas.openxmlformats.org/spreadsheetml/2006/main" xmlns:r="http://schemas.openxmlformats.org/officeDocument/2006/relationships">
  <rcc rId="392" sId="1">
    <nc r="G191">
      <f>0.157048*1000</f>
    </nc>
  </rcc>
  <rcc rId="393" sId="1">
    <nc r="I191">
      <f>0.04923*1000</f>
    </nc>
  </rcc>
  <rcc rId="394" sId="2" odxf="1" dxf="1">
    <nc r="F194">
      <f>0.157048*1000</f>
    </nc>
    <odxf>
      <alignment horizontal="general" vertical="bottom" readingOrder="0"/>
    </odxf>
    <ndxf>
      <alignment horizontal="right" vertical="top" readingOrder="0"/>
    </ndxf>
  </rcc>
  <rcc rId="395" sId="2">
    <nc r="E194" t="inlineStr">
      <is>
        <t>297-ТМ/16 от 23.12.216</t>
      </is>
    </nc>
  </rcc>
  <rcc rId="396" sId="3" odxf="1" dxf="1">
    <nc r="F198">
      <f>0.157048*1000</f>
    </nc>
    <odxf>
      <alignment horizontal="general" vertical="bottom" readingOrder="0"/>
    </odxf>
    <ndxf>
      <alignment horizontal="right" vertical="top" readingOrder="0"/>
    </ndxf>
  </rcc>
  <rcc rId="397" sId="3">
    <nc r="E198" t="inlineStr">
      <is>
        <t>296-ТМ/16 от 23.12.216</t>
      </is>
    </nc>
  </rcc>
  <rcc rId="398" sId="3">
    <oc r="E193" t="inlineStr">
      <is>
        <t>2926-ТМ/16 от 23.12.216</t>
      </is>
    </oc>
    <nc r="E193" t="inlineStr">
      <is>
        <t>297-ТМ/16 от 23.12.216</t>
      </is>
    </nc>
  </rcc>
</revisions>
</file>

<file path=xl/revisions/revisionLog116.xml><?xml version="1.0" encoding="utf-8"?>
<revisions xmlns="http://schemas.openxmlformats.org/spreadsheetml/2006/main" xmlns:r="http://schemas.openxmlformats.org/officeDocument/2006/relationships">
  <rfmt sheetId="1" sqref="B7:L262" start="0" length="2147483647">
    <dxf>
      <font>
        <b/>
      </font>
    </dxf>
  </rfmt>
  <rfmt sheetId="1" sqref="B7:L262" start="0" length="2147483647">
    <dxf>
      <font>
        <b val="0"/>
      </font>
    </dxf>
  </rfmt>
  <rcv guid="{586B0D0F-AFD5-489E-A810-F5CDD42644EC}" action="delete"/>
  <rcv guid="{586B0D0F-AFD5-489E-A810-F5CDD42644EC}" action="add"/>
</revisions>
</file>

<file path=xl/revisions/revisionLog1161.xml><?xml version="1.0" encoding="utf-8"?>
<revisions xmlns="http://schemas.openxmlformats.org/spreadsheetml/2006/main" xmlns:r="http://schemas.openxmlformats.org/officeDocument/2006/relationships">
  <rfmt sheetId="2" sqref="D269" start="0" length="0">
    <dxf>
      <alignment horizontal="center" readingOrder="0"/>
    </dxf>
  </rfmt>
  <rcc rId="1814" sId="2">
    <oc r="D269" t="inlineStr">
      <is>
        <t>(Ф.И.О.)</t>
      </is>
    </oc>
    <nc r="D269" t="inlineStr">
      <is>
        <t xml:space="preserve">                               по доверенности №007/17 от 01.01.2017</t>
      </is>
    </nc>
  </rcc>
  <rcv guid="{586B0D0F-AFD5-489E-A810-F5CDD42644EC}" action="delete"/>
  <rcv guid="{586B0D0F-AFD5-489E-A810-F5CDD42644EC}" action="add"/>
</revisions>
</file>

<file path=xl/revisions/revisionLog11611.xml><?xml version="1.0" encoding="utf-8"?>
<revisions xmlns="http://schemas.openxmlformats.org/spreadsheetml/2006/main" xmlns:r="http://schemas.openxmlformats.org/officeDocument/2006/relationships">
  <rcc rId="449" sId="1">
    <nc r="G208">
      <f>0.157566*1000</f>
    </nc>
  </rcc>
  <rcc rId="450" sId="1">
    <nc r="I208">
      <f>0.040915*1000</f>
    </nc>
  </rcc>
  <rcc rId="451" sId="2" odxf="1" dxf="1">
    <nc r="F211">
      <f>0.157566*1000</f>
    </nc>
    <odxf>
      <alignment horizontal="general" vertical="bottom" readingOrder="0"/>
    </odxf>
    <ndxf>
      <alignment horizontal="right" vertical="top" readingOrder="0"/>
    </ndxf>
  </rcc>
  <rcc rId="452" sId="2">
    <nc r="E211" t="inlineStr">
      <is>
        <t>306-ТМ/16 от 23.12.2016</t>
      </is>
    </nc>
  </rcc>
  <rcc rId="453" sId="3">
    <nc r="E210" t="inlineStr">
      <is>
        <t>306-ТМ/16 от 23.12.2016</t>
      </is>
    </nc>
  </rcc>
  <rcc rId="454" sId="3" odxf="1" dxf="1">
    <nc r="F210">
      <f>0.157566*1000</f>
    </nc>
    <odxf>
      <alignment horizontal="general" vertical="bottom" readingOrder="0"/>
    </odxf>
    <ndxf>
      <alignment horizontal="right" vertical="top" readingOrder="0"/>
    </ndxf>
  </rcc>
  <rcv guid="{586B0D0F-AFD5-489E-A810-F5CDD42644EC}" action="delete"/>
  <rcv guid="{586B0D0F-AFD5-489E-A810-F5CDD42644EC}" action="add"/>
</revisions>
</file>

<file path=xl/revisions/revisionLog116111.xml><?xml version="1.0" encoding="utf-8"?>
<revisions xmlns="http://schemas.openxmlformats.org/spreadsheetml/2006/main" xmlns:r="http://schemas.openxmlformats.org/officeDocument/2006/relationships">
  <rcc rId="412" sId="1">
    <nc r="G202">
      <f>0.157566*1000</f>
    </nc>
  </rcc>
  <rcc rId="413" sId="1">
    <nc r="I202">
      <f>0.040915*1000</f>
    </nc>
  </rcc>
  <rcc rId="414" sId="2" odxf="1" dxf="1">
    <nc r="F205">
      <f>0.157566*1000</f>
    </nc>
    <odxf>
      <alignment horizontal="general" vertical="bottom" readingOrder="0"/>
    </odxf>
    <ndxf>
      <alignment horizontal="right" vertical="top" readingOrder="0"/>
    </ndxf>
  </rcc>
  <rcc rId="415" sId="2">
    <nc r="E205" t="inlineStr">
      <is>
        <t>300-ТМ/16 от 23.12.2016</t>
      </is>
    </nc>
  </rcc>
  <rcc rId="416" sId="3">
    <nc r="E204" t="inlineStr">
      <is>
        <t>300-ТМ/16 от 23.12.2016</t>
      </is>
    </nc>
  </rcc>
  <rcc rId="417" sId="3" odxf="1" dxf="1">
    <nc r="F204">
      <f>0.157566*1000</f>
    </nc>
    <odxf>
      <alignment horizontal="general" vertical="bottom" readingOrder="0"/>
    </odxf>
    <ndxf>
      <alignment horizontal="right" vertical="top" readingOrder="0"/>
    </ndxf>
  </rcc>
</revisions>
</file>

<file path=xl/revisions/revisionLog11612.xml><?xml version="1.0" encoding="utf-8"?>
<revisions xmlns="http://schemas.openxmlformats.org/spreadsheetml/2006/main" xmlns:r="http://schemas.openxmlformats.org/officeDocument/2006/relationships">
  <rcc rId="1808" sId="1">
    <nc r="G34">
      <v>0</v>
    </nc>
  </rcc>
  <rcc rId="1809" sId="1">
    <nc r="I34">
      <v>0</v>
    </nc>
  </rcc>
  <rfmt sheetId="1" sqref="D260:D262">
    <dxf>
      <alignment vertical="center" readingOrder="0"/>
    </dxf>
  </rfmt>
  <rcv guid="{586B0D0F-AFD5-489E-A810-F5CDD42644EC}" action="delete"/>
  <rcv guid="{586B0D0F-AFD5-489E-A810-F5CDD42644EC}" action="add"/>
</revisions>
</file>

<file path=xl/revisions/revisionLog116121.xml><?xml version="1.0" encoding="utf-8"?>
<revisions xmlns="http://schemas.openxmlformats.org/spreadsheetml/2006/main" xmlns:r="http://schemas.openxmlformats.org/officeDocument/2006/relationships">
  <rcv guid="{586B0D0F-AFD5-489E-A810-F5CDD42644EC}" action="delete"/>
  <rcv guid="{586B0D0F-AFD5-489E-A810-F5CDD42644EC}" action="add"/>
</revisions>
</file>

<file path=xl/revisions/revisionLog1161211.xml><?xml version="1.0" encoding="utf-8"?>
<revisions xmlns="http://schemas.openxmlformats.org/spreadsheetml/2006/main" xmlns:r="http://schemas.openxmlformats.org/officeDocument/2006/relationships">
  <rcc rId="473" sId="1">
    <nc r="G224">
      <f>0.179794*1000</f>
    </nc>
  </rcc>
  <rcc rId="474" sId="1">
    <nc r="I224">
      <f>0.05431*1000</f>
    </nc>
  </rcc>
  <rcc rId="475" sId="2" odxf="1" dxf="1">
    <nc r="F227">
      <f>0.179794*1000</f>
    </nc>
    <odxf>
      <alignment horizontal="general" vertical="bottom" readingOrder="0"/>
    </odxf>
    <ndxf>
      <alignment horizontal="right" vertical="top" readingOrder="0"/>
    </ndxf>
  </rcc>
  <rcc rId="476" sId="2">
    <nc r="E227" t="inlineStr">
      <is>
        <t>310-ТМ/16 от 23.12.2016</t>
      </is>
    </nc>
  </rcc>
  <rcc rId="477" sId="3">
    <nc r="E226" t="inlineStr">
      <is>
        <t>310-ТМ/16 от 23.12.2016</t>
      </is>
    </nc>
  </rcc>
  <rcc rId="478" sId="3" odxf="1" dxf="1">
    <nc r="F226">
      <f>0.179794*1000</f>
    </nc>
    <odxf>
      <alignment horizontal="general" vertical="bottom" readingOrder="0"/>
    </odxf>
    <ndxf>
      <alignment horizontal="right" vertical="top" readingOrder="0"/>
    </ndxf>
  </rcc>
  <rcc rId="479" sId="1">
    <nc r="G210">
      <f>0.157189*1000</f>
    </nc>
  </rcc>
  <rcc rId="480" sId="1">
    <nc r="I210">
      <f>0.040915*1000</f>
    </nc>
  </rcc>
  <rcc rId="481" sId="2" odxf="1" dxf="1">
    <nc r="F213">
      <f>0.157189*1000</f>
    </nc>
    <odxf>
      <alignment horizontal="general" vertical="bottom" readingOrder="0"/>
    </odxf>
    <ndxf>
      <alignment horizontal="right" vertical="top" readingOrder="0"/>
    </ndxf>
  </rcc>
  <rcc rId="482" sId="2">
    <nc r="E213" t="inlineStr">
      <is>
        <t>312-ТМ/16 от 23.12.2016</t>
      </is>
    </nc>
  </rcc>
  <rcv guid="{586B0D0F-AFD5-489E-A810-F5CDD42644EC}" action="delete"/>
  <rcv guid="{586B0D0F-AFD5-489E-A810-F5CDD42644EC}" action="add"/>
</revisions>
</file>

<file path=xl/revisions/revisionLog11613.xml><?xml version="1.0" encoding="utf-8"?>
<revisions xmlns="http://schemas.openxmlformats.org/spreadsheetml/2006/main" xmlns:r="http://schemas.openxmlformats.org/officeDocument/2006/relationships">
  <rcc rId="1802" sId="2">
    <oc r="F266">
      <f>SUM(F7:F265)</f>
    </oc>
    <nc r="F266">
      <f>SUM(F7:F265)</f>
    </nc>
  </rcc>
  <rcc rId="1803" sId="1">
    <oc r="G263">
      <f>SUM(G7:G262)</f>
    </oc>
    <nc r="G263">
      <f>SUM(G7:G262)</f>
    </nc>
  </rcc>
  <rcv guid="{586B0D0F-AFD5-489E-A810-F5CDD42644EC}" action="delete"/>
  <rcv guid="{586B0D0F-AFD5-489E-A810-F5CDD42644EC}" action="add"/>
</revisions>
</file>

<file path=xl/revisions/revisionLog116131.xml><?xml version="1.0" encoding="utf-8"?>
<revisions xmlns="http://schemas.openxmlformats.org/spreadsheetml/2006/main" xmlns:r="http://schemas.openxmlformats.org/officeDocument/2006/relationships">
  <rcc rId="569" sId="1">
    <nc r="I214">
      <f>0.040915*1000</f>
    </nc>
  </rcc>
  <rcc rId="570" sId="1">
    <nc r="G214">
      <f>0.157189*1000</f>
    </nc>
  </rcc>
  <rcc rId="571" sId="2" odxf="1" dxf="1">
    <nc r="F217">
      <f>0.157189*1000</f>
    </nc>
    <odxf>
      <alignment horizontal="general" vertical="bottom" readingOrder="0"/>
    </odxf>
    <ndxf>
      <alignment horizontal="right" vertical="top" readingOrder="0"/>
    </ndxf>
  </rcc>
  <rcc rId="572" sId="2">
    <nc r="E217" t="inlineStr">
      <is>
        <t>336-ТМ/16 от 23.12.2016</t>
      </is>
    </nc>
  </rcc>
  <rcc rId="573" sId="3">
    <nc r="E216" t="inlineStr">
      <is>
        <t>336-ТМ/16 от 23.12.2016</t>
      </is>
    </nc>
  </rcc>
  <rcc rId="574" sId="3" odxf="1" dxf="1">
    <nc r="F216">
      <f>0.157189*1000</f>
    </nc>
    <odxf>
      <alignment horizontal="general" vertical="bottom" readingOrder="0"/>
    </odxf>
    <ndxf>
      <alignment horizontal="right" vertical="top" readingOrder="0"/>
    </ndxf>
  </rcc>
  <rcv guid="{586B0D0F-AFD5-489E-A810-F5CDD42644EC}" action="delete"/>
  <rcv guid="{586B0D0F-AFD5-489E-A810-F5CDD42644EC}" action="add"/>
</revisions>
</file>

<file path=xl/revisions/revisionLog1162.xml><?xml version="1.0" encoding="utf-8"?>
<revisions xmlns="http://schemas.openxmlformats.org/spreadsheetml/2006/main" xmlns:r="http://schemas.openxmlformats.org/officeDocument/2006/relationships">
  <rcc rId="620" sId="1">
    <nc r="G229">
      <f>0.315133*1000</f>
    </nc>
  </rcc>
  <rcc rId="621" sId="1">
    <nc r="I229">
      <f>0.081831*1000</f>
    </nc>
  </rcc>
  <rcc rId="622" sId="2" odxf="1" dxf="1">
    <nc r="F232">
      <f>0.315133*1000</f>
    </nc>
    <odxf>
      <alignment horizontal="general" vertical="bottom" readingOrder="0"/>
    </odxf>
    <ndxf>
      <alignment horizontal="right" vertical="top" readingOrder="0"/>
    </ndxf>
  </rcc>
  <rcc rId="623" sId="2">
    <nc r="E232" t="inlineStr">
      <is>
        <t>315-ТМ/16 от 23.12.2016</t>
      </is>
    </nc>
  </rcc>
  <rcc rId="624" sId="3">
    <nc r="E231" t="inlineStr">
      <is>
        <t>315-ТМ/16 от 23.12.2016</t>
      </is>
    </nc>
  </rcc>
  <rcc rId="625" sId="3" odxf="1" dxf="1">
    <nc r="F231">
      <f>0.315133*1000</f>
    </nc>
    <odxf>
      <alignment horizontal="general" vertical="bottom" readingOrder="0"/>
    </odxf>
    <ndxf>
      <alignment horizontal="right" vertical="top" readingOrder="0"/>
    </ndxf>
  </rcc>
  <rcv guid="{586B0D0F-AFD5-489E-A810-F5CDD42644EC}" action="delete"/>
  <rcv guid="{586B0D0F-AFD5-489E-A810-F5CDD42644EC}" action="add"/>
</revisions>
</file>

<file path=xl/revisions/revisionLog117.xml><?xml version="1.0" encoding="utf-8"?>
<revisions xmlns="http://schemas.openxmlformats.org/spreadsheetml/2006/main" xmlns:r="http://schemas.openxmlformats.org/officeDocument/2006/relationships">
  <rcc rId="644" sId="1">
    <nc r="I246">
      <f>0.040915*1000</f>
    </nc>
  </rcc>
  <rcc rId="645" sId="1">
    <nc r="G246">
      <f>0.157566*1000</f>
    </nc>
  </rcc>
  <rcc rId="646" sId="2" odxf="1" dxf="1">
    <nc r="F249">
      <f>0.157566*1000</f>
    </nc>
    <odxf>
      <alignment horizontal="general" vertical="bottom" readingOrder="0"/>
    </odxf>
    <ndxf>
      <alignment horizontal="right" vertical="top" readingOrder="0"/>
    </ndxf>
  </rcc>
  <rcc rId="647" sId="2">
    <nc r="E249" t="inlineStr">
      <is>
        <t>353-ТМ/16 от 23.12.2016</t>
      </is>
    </nc>
  </rcc>
  <rcc rId="648" sId="3">
    <nc r="E248" t="inlineStr">
      <is>
        <t>353-ТМ/16 от 23.12.2016</t>
      </is>
    </nc>
  </rcc>
  <rcc rId="649" sId="3" odxf="1" dxf="1">
    <nc r="F248">
      <f>0.157566*1000</f>
    </nc>
    <odxf>
      <alignment horizontal="general" vertical="bottom" readingOrder="0"/>
    </odxf>
    <ndxf>
      <alignment horizontal="right" vertical="top" readingOrder="0"/>
    </ndxf>
  </rcc>
  <rcv guid="{586B0D0F-AFD5-489E-A810-F5CDD42644EC}" action="delete"/>
  <rcv guid="{586B0D0F-AFD5-489E-A810-F5CDD42644EC}" action="add"/>
</revisions>
</file>

<file path=xl/revisions/revisionLog1171.xml><?xml version="1.0" encoding="utf-8"?>
<revisions xmlns="http://schemas.openxmlformats.org/spreadsheetml/2006/main" xmlns:r="http://schemas.openxmlformats.org/officeDocument/2006/relationships">
  <rcc rId="509" sId="1">
    <nc r="G213">
      <f>0.157189*1000</f>
    </nc>
  </rcc>
  <rcc rId="510" sId="1">
    <nc r="I213">
      <f>0.040915*1000</f>
    </nc>
  </rcc>
  <rcc rId="511" sId="2" odxf="1" dxf="1">
    <nc r="F216">
      <f>0.157189*1000</f>
    </nc>
    <odxf>
      <alignment horizontal="general" vertical="bottom" readingOrder="0"/>
    </odxf>
    <ndxf>
      <alignment horizontal="right" vertical="top" readingOrder="0"/>
    </ndxf>
  </rcc>
  <rcc rId="512" sId="2">
    <nc r="E216" t="inlineStr">
      <is>
        <t>322-ТМ/16 от 23.12.2016</t>
      </is>
    </nc>
  </rcc>
  <rcc rId="513" sId="3">
    <nc r="E215" t="inlineStr">
      <is>
        <t>322-ТМ/16 от 23.12.2016</t>
      </is>
    </nc>
  </rcc>
  <rcc rId="514" sId="3" odxf="1" dxf="1">
    <nc r="F215">
      <f>0.157189*1000</f>
    </nc>
    <odxf>
      <alignment horizontal="general" vertical="bottom" readingOrder="0"/>
    </odxf>
    <ndxf>
      <alignment horizontal="right" vertical="top" readingOrder="0"/>
    </ndxf>
  </rcc>
  <rcc rId="515" sId="1">
    <nc r="G222">
      <f>0.148733*1000</f>
    </nc>
  </rcc>
  <rcc rId="516" sId="1">
    <nc r="I222">
      <f>0.040915*1000</f>
    </nc>
  </rcc>
  <rcc rId="517" sId="2" odxf="1" dxf="1">
    <nc r="F225">
      <f>0.148733*1000</f>
    </nc>
    <odxf>
      <alignment horizontal="general" vertical="bottom" readingOrder="0"/>
    </odxf>
    <ndxf>
      <alignment horizontal="right" vertical="top" readingOrder="0"/>
    </ndxf>
  </rcc>
  <rcc rId="518" sId="2">
    <nc r="E225" t="inlineStr">
      <is>
        <t>323-ТМ/16 от 23.12.2016</t>
      </is>
    </nc>
  </rcc>
  <rcc rId="519" sId="3">
    <nc r="E224" t="inlineStr">
      <is>
        <t>323-ТМ/16 от 23.12.2016</t>
      </is>
    </nc>
  </rcc>
  <rcc rId="520" sId="3" odxf="1" dxf="1">
    <nc r="F224">
      <f>0.148733*1000</f>
    </nc>
    <odxf>
      <alignment horizontal="general" vertical="bottom" readingOrder="0"/>
    </odxf>
    <ndxf>
      <alignment horizontal="right" vertical="top" readingOrder="0"/>
    </ndxf>
  </rcc>
  <rcv guid="{586B0D0F-AFD5-489E-A810-F5CDD42644EC}" action="delete"/>
  <rcv guid="{586B0D0F-AFD5-489E-A810-F5CDD42644EC}" action="add"/>
</revisions>
</file>

<file path=xl/revisions/revisionLog11711.xml><?xml version="1.0" encoding="utf-8"?>
<revisions xmlns="http://schemas.openxmlformats.org/spreadsheetml/2006/main" xmlns:r="http://schemas.openxmlformats.org/officeDocument/2006/relationships">
  <rcc rId="467" sId="1">
    <nc r="G209">
      <f>0.157566*1000</f>
    </nc>
  </rcc>
  <rcc rId="468" sId="1">
    <nc r="I209">
      <f>0.040915*1000</f>
    </nc>
  </rcc>
  <rcc rId="469" sId="2" odxf="1" dxf="1">
    <nc r="F212">
      <f>0.157566*1000</f>
    </nc>
    <odxf>
      <alignment horizontal="general" vertical="bottom" readingOrder="0"/>
    </odxf>
    <ndxf>
      <alignment horizontal="right" vertical="top" readingOrder="0"/>
    </ndxf>
  </rcc>
  <rcc rId="470" sId="2">
    <nc r="E212" t="inlineStr">
      <is>
        <t>309-ТМ/16 от 23.12.2016</t>
      </is>
    </nc>
  </rcc>
  <rcc rId="471" sId="3">
    <nc r="E211" t="inlineStr">
      <is>
        <t>309-ТМ/16 от 23.12.2016</t>
      </is>
    </nc>
  </rcc>
  <rcc rId="472" sId="3" odxf="1" dxf="1">
    <nc r="F211">
      <f>0.157566*1000</f>
    </nc>
    <odxf>
      <alignment horizontal="general" vertical="bottom" readingOrder="0"/>
    </odxf>
    <ndxf>
      <alignment horizontal="right" vertical="top" readingOrder="0"/>
    </ndxf>
  </rcc>
  <rcv guid="{586B0D0F-AFD5-489E-A810-F5CDD42644EC}" action="delete"/>
  <rcv guid="{586B0D0F-AFD5-489E-A810-F5CDD42644EC}" action="add"/>
</revisions>
</file>

<file path=xl/revisions/revisionLog117111.xml><?xml version="1.0" encoding="utf-8"?>
<revisions xmlns="http://schemas.openxmlformats.org/spreadsheetml/2006/main" xmlns:r="http://schemas.openxmlformats.org/officeDocument/2006/relationships">
  <rcc rId="455" sId="1">
    <nc r="G207">
      <f>0.157566*1000</f>
    </nc>
  </rcc>
  <rcc rId="456" sId="1">
    <nc r="I207">
      <f>0.040915*1000</f>
    </nc>
  </rcc>
  <rcc rId="457" sId="2" odxf="1" dxf="1">
    <nc r="F210">
      <f>0.157566*1000</f>
    </nc>
    <odxf>
      <alignment horizontal="general" vertical="bottom" readingOrder="0"/>
    </odxf>
    <ndxf>
      <alignment horizontal="right" vertical="top" readingOrder="0"/>
    </ndxf>
  </rcc>
  <rcc rId="458" sId="2">
    <nc r="E210" t="inlineStr">
      <is>
        <t>307-ТМ/16 от 23.12.2016</t>
      </is>
    </nc>
  </rcc>
  <rcc rId="459" sId="3">
    <nc r="E209" t="inlineStr">
      <is>
        <t>307-ТМ/16 от 23.12.2016</t>
      </is>
    </nc>
  </rcc>
  <rcc rId="460" sId="3" odxf="1" dxf="1">
    <nc r="F209">
      <f>0.157566*1000</f>
    </nc>
    <odxf>
      <alignment horizontal="general" vertical="bottom" readingOrder="0"/>
    </odxf>
    <ndxf>
      <alignment horizontal="right" vertical="top" readingOrder="0"/>
    </ndxf>
  </rcc>
  <rcv guid="{586B0D0F-AFD5-489E-A810-F5CDD42644EC}" action="delete"/>
  <rcv guid="{586B0D0F-AFD5-489E-A810-F5CDD42644EC}" action="add"/>
</revisions>
</file>

<file path=xl/revisions/revisionLog1172.xml><?xml version="1.0" encoding="utf-8"?>
<revisions xmlns="http://schemas.openxmlformats.org/spreadsheetml/2006/main" xmlns:r="http://schemas.openxmlformats.org/officeDocument/2006/relationships">
  <rcc rId="608" sId="1">
    <nc r="I219">
      <f>0.040915*1000</f>
    </nc>
  </rcc>
  <rcc rId="609" sId="1">
    <nc r="G219">
      <f>0.157189*1000</f>
    </nc>
  </rcc>
  <rcc rId="610" sId="2" odxf="1" dxf="1">
    <nc r="F222">
      <f>0.157189*1000</f>
    </nc>
    <odxf>
      <alignment horizontal="general" vertical="bottom" readingOrder="0"/>
    </odxf>
    <ndxf>
      <alignment horizontal="right" vertical="top" readingOrder="0"/>
    </ndxf>
  </rcc>
  <rcc rId="611" sId="2">
    <nc r="E222" t="inlineStr">
      <is>
        <t>341-ТМ/16 от 23.12.2016</t>
      </is>
    </nc>
  </rcc>
  <rcc rId="612" sId="3">
    <nc r="E221" t="inlineStr">
      <is>
        <t>341-ТМ/16 от 23.12.2016</t>
      </is>
    </nc>
  </rcc>
  <rcc rId="613" sId="3" odxf="1" dxf="1">
    <nc r="F221">
      <f>0.157189*1000</f>
    </nc>
    <odxf>
      <alignment horizontal="general" vertical="bottom" readingOrder="0"/>
    </odxf>
    <ndxf>
      <alignment horizontal="right" vertical="top" readingOrder="0"/>
    </ndxf>
  </rcc>
  <rcv guid="{586B0D0F-AFD5-489E-A810-F5CDD42644EC}" action="delete"/>
  <rcv guid="{586B0D0F-AFD5-489E-A810-F5CDD42644EC}" action="add"/>
</revisions>
</file>

<file path=xl/revisions/revisionLog11721.xml><?xml version="1.0" encoding="utf-8"?>
<revisions xmlns="http://schemas.openxmlformats.org/spreadsheetml/2006/main" xmlns:r="http://schemas.openxmlformats.org/officeDocument/2006/relationships">
  <rcc rId="521" sId="1">
    <nc r="I223">
      <f>0.040915*1000</f>
    </nc>
  </rcc>
  <rcc rId="522" sId="1">
    <nc r="G223">
      <f>0.148733*1000</f>
    </nc>
  </rcc>
  <rcc rId="523" sId="2" odxf="1" dxf="1">
    <nc r="F226">
      <f>0.148733*1000</f>
    </nc>
    <odxf>
      <alignment horizontal="general" vertical="bottom" readingOrder="0"/>
    </odxf>
    <ndxf>
      <alignment horizontal="right" vertical="top" readingOrder="0"/>
    </ndxf>
  </rcc>
  <rcc rId="524" sId="2">
    <nc r="E226" t="inlineStr">
      <is>
        <t>324-ТМ/16 от 23.12.2016</t>
      </is>
    </nc>
  </rcc>
  <rcc rId="525" sId="3">
    <nc r="E225" t="inlineStr">
      <is>
        <t>324-ТМ/16 от 23.12.2016</t>
      </is>
    </nc>
  </rcc>
  <rcc rId="526" sId="3" odxf="1" dxf="1">
    <nc r="F225">
      <f>0.148733*1000</f>
    </nc>
    <odxf>
      <alignment horizontal="general" vertical="bottom" readingOrder="0"/>
    </odxf>
    <ndxf>
      <alignment horizontal="right" vertical="top" readingOrder="0"/>
    </ndxf>
  </rcc>
  <rcc rId="527" sId="1">
    <nc r="I218">
      <f>0.040915*1000</f>
    </nc>
  </rcc>
  <rcc rId="528" sId="1">
    <nc r="G218">
      <f>0.148733*1000</f>
    </nc>
  </rcc>
  <rcc rId="529" sId="2" odxf="1" dxf="1">
    <nc r="F221">
      <f>0.148733*1000</f>
    </nc>
    <odxf>
      <alignment horizontal="general" vertical="bottom" readingOrder="0"/>
    </odxf>
    <ndxf>
      <alignment horizontal="right" vertical="top" readingOrder="0"/>
    </ndxf>
  </rcc>
  <rcc rId="530" sId="2">
    <nc r="E221" t="inlineStr">
      <is>
        <t>325-ТМ/16 от 23.12.2016</t>
      </is>
    </nc>
  </rcc>
  <rcc rId="531" sId="3">
    <nc r="E220" t="inlineStr">
      <is>
        <t>325-ТМ/16 от 23.12.2016</t>
      </is>
    </nc>
  </rcc>
  <rcc rId="532" sId="3" odxf="1" dxf="1">
    <nc r="F220">
      <f>0.148733*1000</f>
    </nc>
    <odxf>
      <alignment horizontal="general" vertical="bottom" readingOrder="0"/>
    </odxf>
    <ndxf>
      <alignment horizontal="right" vertical="top" readingOrder="0"/>
    </ndxf>
  </rcc>
  <rcv guid="{586B0D0F-AFD5-489E-A810-F5CDD42644EC}" action="delete"/>
  <rcv guid="{586B0D0F-AFD5-489E-A810-F5CDD42644EC}" action="add"/>
</revisions>
</file>

<file path=xl/revisions/revisionLog118.xml><?xml version="1.0" encoding="utf-8"?>
<revisions xmlns="http://schemas.openxmlformats.org/spreadsheetml/2006/main" xmlns:r="http://schemas.openxmlformats.org/officeDocument/2006/relationships">
  <rcc rId="686" sId="1">
    <nc r="I238">
      <f>0.040915*1000</f>
    </nc>
  </rcc>
  <rcc rId="687" sId="1">
    <nc r="G238">
      <f>0.157566*1000</f>
    </nc>
  </rcc>
  <rcc rId="688" sId="2" odxf="1" dxf="1">
    <nc r="F241">
      <f>0.157566*1000</f>
    </nc>
    <odxf>
      <alignment horizontal="general" vertical="bottom" readingOrder="0"/>
    </odxf>
    <ndxf>
      <alignment horizontal="right" vertical="top" readingOrder="0"/>
    </ndxf>
  </rcc>
  <rcc rId="689" sId="2">
    <nc r="E241" t="inlineStr">
      <is>
        <t>345-ТМ/16 от 23.12.2016</t>
      </is>
    </nc>
  </rcc>
  <rcc rId="690" sId="3">
    <nc r="E240" t="inlineStr">
      <is>
        <t>345-ТМ/16 от 23.12.2016</t>
      </is>
    </nc>
  </rcc>
  <rcc rId="691" sId="3" odxf="1" dxf="1">
    <nc r="F240">
      <f>0.157566*1000</f>
    </nc>
    <odxf>
      <alignment horizontal="general" vertical="bottom" readingOrder="0"/>
    </odxf>
    <ndxf>
      <alignment horizontal="right" vertical="top" readingOrder="0"/>
    </ndxf>
  </rcc>
  <rcv guid="{586B0D0F-AFD5-489E-A810-F5CDD42644EC}" action="delete"/>
  <rcv guid="{586B0D0F-AFD5-489E-A810-F5CDD42644EC}" action="add"/>
</revisions>
</file>

<file path=xl/revisions/revisionLog1181.xml><?xml version="1.0" encoding="utf-8"?>
<revisions xmlns="http://schemas.openxmlformats.org/spreadsheetml/2006/main" xmlns:r="http://schemas.openxmlformats.org/officeDocument/2006/relationships">
  <rcc rId="539" sId="1">
    <nc r="I192">
      <f>0.04923*1000</f>
    </nc>
  </rcc>
  <rcc rId="540" sId="1">
    <nc r="G192">
      <f>0.157048*1000</f>
    </nc>
  </rcc>
  <rcc rId="541" sId="2" odxf="1" dxf="1">
    <nc r="F195">
      <f>0.157048*1000</f>
    </nc>
    <odxf>
      <alignment horizontal="general" vertical="bottom" readingOrder="0"/>
    </odxf>
    <ndxf>
      <alignment horizontal="right" vertical="top" readingOrder="0"/>
    </ndxf>
  </rcc>
  <rcc rId="542" sId="2">
    <nc r="E195" t="inlineStr">
      <is>
        <t>329-ТМ/16 от 23.12.216</t>
      </is>
    </nc>
  </rcc>
  <rcc rId="543" sId="3">
    <nc r="E194" t="inlineStr">
      <is>
        <t>329-ТМ/16 от 23.12.216</t>
      </is>
    </nc>
  </rcc>
  <rcc rId="544" sId="3" odxf="1" dxf="1">
    <nc r="F194">
      <f>0.157048*1000</f>
    </nc>
    <odxf>
      <alignment horizontal="general" vertical="bottom" readingOrder="0"/>
    </odxf>
    <ndxf>
      <alignment horizontal="right" vertical="top" readingOrder="0"/>
    </ndxf>
  </rcc>
  <rcc rId="545" sId="1">
    <nc r="I234">
      <f>0.028444*1000</f>
    </nc>
  </rcc>
  <rcc rId="546" sId="1">
    <nc r="G234">
      <f>0.136262*1000</f>
    </nc>
  </rcc>
  <rcc rId="547" sId="2" odxf="1" dxf="1">
    <nc r="F237">
      <f>0.136262*1000</f>
    </nc>
    <odxf>
      <alignment horizontal="general" vertical="bottom" readingOrder="0"/>
    </odxf>
    <ndxf>
      <alignment horizontal="right" vertical="top" readingOrder="0"/>
    </ndxf>
  </rcc>
  <rcc rId="548" sId="2">
    <nc r="E237" t="inlineStr">
      <is>
        <t>331-ТМ/16 от 23.12.2016</t>
      </is>
    </nc>
  </rcc>
  <rcc rId="549" sId="3">
    <nc r="E236" t="inlineStr">
      <is>
        <t>331-ТМ/16 от 23.12.2016</t>
      </is>
    </nc>
  </rcc>
  <rcc rId="550" sId="3" odxf="1" dxf="1">
    <nc r="F236">
      <f>0.136262*1000</f>
    </nc>
    <odxf>
      <alignment horizontal="general" vertical="bottom" readingOrder="0"/>
    </odxf>
    <ndxf>
      <alignment horizontal="right" vertical="top" readingOrder="0"/>
    </ndxf>
  </rcc>
  <rcv guid="{586B0D0F-AFD5-489E-A810-F5CDD42644EC}" action="delete"/>
  <rcv guid="{586B0D0F-AFD5-489E-A810-F5CDD42644EC}" action="add"/>
</revisions>
</file>

<file path=xl/revisions/revisionLog11811.xml><?xml version="1.0" encoding="utf-8"?>
<revisions xmlns="http://schemas.openxmlformats.org/spreadsheetml/2006/main" xmlns:r="http://schemas.openxmlformats.org/officeDocument/2006/relationships">
  <rcc rId="491" sId="1">
    <nc r="G225">
      <f>0.179794*1000</f>
    </nc>
  </rcc>
  <rcc rId="492" sId="1">
    <nc r="I225">
      <f>0.05431*1000</f>
    </nc>
  </rcc>
  <rcc rId="493" sId="2" odxf="1" dxf="1">
    <nc r="F228">
      <f>0.179794*1000</f>
    </nc>
    <odxf>
      <alignment horizontal="general" vertical="bottom" readingOrder="0"/>
    </odxf>
    <ndxf>
      <alignment horizontal="right" vertical="top" readingOrder="0"/>
    </ndxf>
  </rcc>
  <rcc rId="494" sId="2">
    <nc r="E228" t="inlineStr">
      <is>
        <t>318-ТМ/16 от 23.12.2016</t>
      </is>
    </nc>
  </rcc>
  <rcc rId="495" sId="3">
    <nc r="E227" t="inlineStr">
      <is>
        <t>318-ТМ/16 от 23.12.2016</t>
      </is>
    </nc>
  </rcc>
  <rcc rId="496" sId="3" odxf="1" dxf="1">
    <nc r="F227">
      <f>0.179794*1000</f>
    </nc>
    <odxf>
      <alignment horizontal="general" vertical="bottom" readingOrder="0"/>
    </odxf>
    <ndxf>
      <alignment horizontal="right" vertical="top" readingOrder="0"/>
    </ndxf>
  </rcc>
  <rcc rId="497" sId="1">
    <nc r="G212">
      <f>0.157189*1000</f>
    </nc>
  </rcc>
  <rcc rId="498" sId="1">
    <nc r="I212">
      <f>0.040915*1000</f>
    </nc>
  </rcc>
  <rcc rId="499" sId="2" odxf="1" dxf="1">
    <nc r="F215">
      <f>0.157189*1000</f>
    </nc>
    <odxf>
      <alignment horizontal="general" vertical="bottom" readingOrder="0"/>
    </odxf>
    <ndxf>
      <alignment horizontal="right" vertical="top" readingOrder="0"/>
    </ndxf>
  </rcc>
  <rcc rId="500" sId="2">
    <nc r="E215" t="inlineStr">
      <is>
        <t>320-ТМ/16 от 23.12.2016</t>
      </is>
    </nc>
  </rcc>
  <rcc rId="501" sId="3">
    <nc r="E214" t="inlineStr">
      <is>
        <t>320-ТМ/16 от 23.12.2016</t>
      </is>
    </nc>
  </rcc>
  <rcc rId="502" sId="3" odxf="1" dxf="1">
    <nc r="F214">
      <f>0.157189*1000</f>
    </nc>
    <odxf>
      <alignment horizontal="general" vertical="bottom" readingOrder="0"/>
    </odxf>
    <ndxf>
      <alignment horizontal="right" vertical="top" readingOrder="0"/>
    </ndxf>
  </rcc>
  <rcv guid="{586B0D0F-AFD5-489E-A810-F5CDD42644EC}" action="delete"/>
  <rcv guid="{586B0D0F-AFD5-489E-A810-F5CDD42644EC}" action="add"/>
</revisions>
</file>

<file path=xl/revisions/revisionLog1182.xml><?xml version="1.0" encoding="utf-8"?>
<revisions xmlns="http://schemas.openxmlformats.org/spreadsheetml/2006/main" xmlns:r="http://schemas.openxmlformats.org/officeDocument/2006/relationships">
  <rcc rId="674" sId="1">
    <nc r="G242">
      <f>0.125083*1000</f>
    </nc>
  </rcc>
  <rcc rId="675" sId="1">
    <nc r="I242">
      <f>0.036638*1000</f>
    </nc>
  </rcc>
  <rcc rId="676" sId="2" odxf="1" dxf="1">
    <nc r="F245">
      <f>0.125083*1000</f>
    </nc>
    <odxf>
      <alignment horizontal="general" vertical="bottom" readingOrder="0"/>
    </odxf>
    <ndxf>
      <alignment horizontal="right" vertical="top" readingOrder="0"/>
    </ndxf>
  </rcc>
  <rcc rId="677" sId="2">
    <nc r="E245" t="inlineStr">
      <is>
        <t>349-ТМ/16 от 23.12.2016</t>
      </is>
    </nc>
  </rcc>
  <rcv guid="{586B0D0F-AFD5-489E-A810-F5CDD42644EC}" action="delete"/>
  <rcv guid="{586B0D0F-AFD5-489E-A810-F5CDD42644EC}" action="add"/>
</revisions>
</file>

<file path=xl/revisions/revisionLog11821.xml><?xml version="1.0" encoding="utf-8"?>
<revisions xmlns="http://schemas.openxmlformats.org/spreadsheetml/2006/main" xmlns:r="http://schemas.openxmlformats.org/officeDocument/2006/relationships">
  <rcc rId="626" sId="1">
    <nc r="I230">
      <f>0.081831*1000</f>
    </nc>
  </rcc>
  <rcc rId="627" sId="1">
    <nc r="G230">
      <f>0.315133*1000</f>
    </nc>
  </rcc>
  <rcc rId="628" sId="2" odxf="1" dxf="1">
    <nc r="F233">
      <f>0.315133*1000</f>
    </nc>
    <odxf>
      <alignment horizontal="general" vertical="bottom" readingOrder="0"/>
    </odxf>
    <ndxf>
      <alignment horizontal="right" vertical="top" readingOrder="0"/>
    </ndxf>
  </rcc>
  <rcc rId="629" sId="2">
    <nc r="E233" t="inlineStr">
      <is>
        <t>317-ТМ/16 от 23.12.2016</t>
      </is>
    </nc>
  </rcc>
  <rcc rId="630" sId="3">
    <nc r="E232" t="inlineStr">
      <is>
        <t>317-ТМ/16 от 23.12.2016</t>
      </is>
    </nc>
  </rcc>
  <rcc rId="631" sId="3" odxf="1" dxf="1">
    <nc r="F232">
      <f>0.315133*1000</f>
    </nc>
    <odxf>
      <alignment horizontal="general" vertical="bottom" readingOrder="0"/>
    </odxf>
    <ndxf>
      <alignment horizontal="right" vertical="top" readingOrder="0"/>
    </ndxf>
  </rcc>
  <rcc rId="632" sId="1">
    <nc r="I231">
      <f>0.081831*1000</f>
    </nc>
  </rcc>
  <rcc rId="633" sId="1">
    <nc r="G231">
      <f>0.315133*1000</f>
    </nc>
  </rcc>
  <rcc rId="634" sId="2" odxf="1" dxf="1">
    <nc r="F234">
      <f>0.315133*1000</f>
    </nc>
    <odxf>
      <alignment horizontal="general" vertical="bottom" readingOrder="0"/>
    </odxf>
    <ndxf>
      <alignment horizontal="right" vertical="top" readingOrder="0"/>
    </ndxf>
  </rcc>
  <rcc rId="635" sId="2">
    <nc r="E234" t="inlineStr">
      <is>
        <t>319-ТМ/16 от 23.12.2016</t>
      </is>
    </nc>
  </rcc>
  <rcc rId="636" sId="3">
    <nc r="E233" t="inlineStr">
      <is>
        <t>319-ТМ/16 от 23.12.2016</t>
      </is>
    </nc>
  </rcc>
  <rcc rId="637" sId="3" odxf="1" dxf="1">
    <nc r="F233">
      <f>0.315133*1000</f>
    </nc>
    <odxf>
      <alignment horizontal="general" vertical="bottom" readingOrder="0"/>
    </odxf>
    <ndxf>
      <alignment horizontal="right" vertical="top" readingOrder="0"/>
    </ndxf>
  </rcc>
  <rcv guid="{586B0D0F-AFD5-489E-A810-F5CDD42644EC}" action="delete"/>
  <rcv guid="{586B0D0F-AFD5-489E-A810-F5CDD42644EC}" action="add"/>
</revisions>
</file>

<file path=xl/revisions/revisionLog118211.xml><?xml version="1.0" encoding="utf-8"?>
<revisions xmlns="http://schemas.openxmlformats.org/spreadsheetml/2006/main" xmlns:r="http://schemas.openxmlformats.org/officeDocument/2006/relationships">
  <rcc rId="551" sId="1">
    <nc r="I215">
      <f>0.040915*1000</f>
    </nc>
  </rcc>
  <rcc rId="552" sId="1">
    <nc r="G215">
      <f>0.157189*1000</f>
    </nc>
  </rcc>
  <rcc rId="553" sId="2" odxf="1" dxf="1">
    <nc r="F218">
      <f>0.157189*1000</f>
    </nc>
    <odxf>
      <alignment horizontal="general" vertical="bottom" readingOrder="0"/>
    </odxf>
    <ndxf>
      <alignment horizontal="right" vertical="top" readingOrder="0"/>
    </ndxf>
  </rcc>
  <rcc rId="554" sId="2">
    <nc r="E218" t="inlineStr">
      <is>
        <t>332-ТМ/16 от 23.12.2016</t>
      </is>
    </nc>
  </rcc>
  <rcc rId="555" sId="3">
    <nc r="E217" t="inlineStr">
      <is>
        <t>332-ТМ/16 от 23.12.2016</t>
      </is>
    </nc>
  </rcc>
  <rcc rId="556" sId="3" odxf="1" dxf="1">
    <nc r="F217">
      <f>0.157189*1000</f>
    </nc>
    <odxf>
      <alignment horizontal="general" vertical="bottom" readingOrder="0"/>
    </odxf>
    <ndxf>
      <alignment horizontal="right" vertical="top" readingOrder="0"/>
    </ndxf>
  </rcc>
  <rcc rId="557" sId="1">
    <nc r="I227">
      <f>0.05431*1000</f>
    </nc>
  </rcc>
  <rcc rId="558" sId="1">
    <nc r="G227">
      <f>0.179794*1000</f>
    </nc>
  </rcc>
  <rcc rId="559" sId="2" odxf="1" dxf="1">
    <nc r="F230">
      <f>0.179794*1000</f>
    </nc>
    <odxf>
      <alignment horizontal="general" vertical="bottom" readingOrder="0"/>
    </odxf>
    <ndxf>
      <alignment horizontal="right" vertical="top" readingOrder="0"/>
    </ndxf>
  </rcc>
  <rcc rId="560" sId="2">
    <nc r="E230" t="inlineStr">
      <is>
        <t>334-ТМ/16 от 23.12.2016</t>
      </is>
    </nc>
  </rcc>
  <rcc rId="561" sId="3">
    <nc r="E229" t="inlineStr">
      <is>
        <t>334-ТМ/16 от 23.12.2016</t>
      </is>
    </nc>
  </rcc>
  <rcc rId="562" sId="3" odxf="1" dxf="1">
    <nc r="F229">
      <f>0.179794*1000</f>
    </nc>
    <odxf>
      <alignment horizontal="general" vertical="bottom" readingOrder="0"/>
    </odxf>
    <ndxf>
      <alignment horizontal="right" vertical="top" readingOrder="0"/>
    </ndxf>
  </rcc>
  <rcc rId="563" sId="3" odxf="1" dxf="1">
    <nc r="F230">
      <f>0.179794*1000</f>
    </nc>
    <odxf>
      <alignment horizontal="general" vertical="bottom" readingOrder="0"/>
    </odxf>
    <ndxf>
      <alignment horizontal="right" vertical="top" readingOrder="0"/>
    </ndxf>
  </rcc>
  <rcc rId="564" sId="3">
    <nc r="E230" t="inlineStr">
      <is>
        <t>335-ТМ/16 от 23.12.2016</t>
      </is>
    </nc>
  </rcc>
  <rcc rId="565" sId="2">
    <nc r="E231" t="inlineStr">
      <is>
        <t>335-ТМ/16 от 23.12.2016</t>
      </is>
    </nc>
  </rcc>
  <rcc rId="566" sId="2" odxf="1" dxf="1">
    <nc r="F231">
      <f>0.179794*1000</f>
    </nc>
    <odxf>
      <alignment horizontal="general" vertical="bottom" readingOrder="0"/>
    </odxf>
    <ndxf>
      <alignment horizontal="right" vertical="top" readingOrder="0"/>
    </ndxf>
  </rcc>
  <rcc rId="567" sId="1">
    <nc r="G228">
      <f>0.179794*1000</f>
    </nc>
  </rcc>
  <rcc rId="568" sId="1">
    <nc r="I228">
      <f>0.05431*1000</f>
    </nc>
  </rcc>
  <rcv guid="{586B0D0F-AFD5-489E-A810-F5CDD42644EC}" action="delete"/>
  <rcv guid="{586B0D0F-AFD5-489E-A810-F5CDD42644EC}" action="add"/>
</revisions>
</file>

<file path=xl/revisions/revisionLog119.xml><?xml version="1.0" encoding="utf-8"?>
<revisions xmlns="http://schemas.openxmlformats.org/spreadsheetml/2006/main" xmlns:r="http://schemas.openxmlformats.org/officeDocument/2006/relationships">
  <rcv guid="{586B0D0F-AFD5-489E-A810-F5CDD42644EC}" action="delete"/>
  <rcv guid="{586B0D0F-AFD5-489E-A810-F5CDD42644EC}" action="add"/>
</revisions>
</file>

<file path=xl/revisions/revisionLog1191.xml><?xml version="1.0" encoding="utf-8"?>
<revisions xmlns="http://schemas.openxmlformats.org/spreadsheetml/2006/main" xmlns:r="http://schemas.openxmlformats.org/officeDocument/2006/relationships">
  <rcc rId="575" sId="1">
    <nc r="I216">
      <f>0.040915*1000</f>
    </nc>
  </rcc>
  <rcc rId="576" sId="1">
    <nc r="G216">
      <f>0.157189*1000</f>
    </nc>
  </rcc>
  <rcc rId="577" sId="2" odxf="1" dxf="1">
    <nc r="F219">
      <f>0.157189*1000</f>
    </nc>
    <odxf>
      <alignment horizontal="general" vertical="bottom" readingOrder="0"/>
    </odxf>
    <ndxf>
      <alignment horizontal="right" vertical="top" readingOrder="0"/>
    </ndxf>
  </rcc>
  <rcc rId="578" sId="2">
    <nc r="E219" t="inlineStr">
      <is>
        <t>337-ТМ/16 от 23.12.2016</t>
      </is>
    </nc>
  </rcc>
  <rcc rId="579" sId="3">
    <nc r="E218" t="inlineStr">
      <is>
        <t>337-ТМ/16 от 23.12.2016</t>
      </is>
    </nc>
  </rcc>
  <rcc rId="580" sId="3" odxf="1" dxf="1">
    <nc r="F218">
      <f>0.157189*1000</f>
    </nc>
    <odxf>
      <alignment horizontal="general" vertical="bottom" readingOrder="0"/>
    </odxf>
    <ndxf>
      <alignment horizontal="right" vertical="top" readingOrder="0"/>
    </ndxf>
  </rcc>
  <rcv guid="{586B0D0F-AFD5-489E-A810-F5CDD42644EC}" action="delete"/>
  <rcv guid="{586B0D0F-AFD5-489E-A810-F5CDD42644EC}" action="add"/>
</revisions>
</file>

<file path=xl/revisions/revisionLog12.xml><?xml version="1.0" encoding="utf-8"?>
<revisions xmlns="http://schemas.openxmlformats.org/spreadsheetml/2006/main" xmlns:r="http://schemas.openxmlformats.org/officeDocument/2006/relationships">
  <rfmt sheetId="2" sqref="E1:E1048576">
    <dxf>
      <alignment horizontal="center" readingOrder="0"/>
    </dxf>
  </rfmt>
  <rfmt sheetId="2" sqref="F1:F1048576">
    <dxf>
      <alignment horizontal="center" readingOrder="0"/>
    </dxf>
  </rfmt>
  <rfmt sheetId="2" sqref="A7:XFD271">
    <dxf>
      <fill>
        <patternFill patternType="none">
          <bgColor auto="1"/>
        </patternFill>
      </fill>
    </dxf>
  </rfmt>
  <rcv guid="{586B0D0F-AFD5-489E-A810-F5CDD42644EC}" action="delete"/>
  <rcv guid="{586B0D0F-AFD5-489E-A810-F5CDD42644EC}" action="add"/>
</revisions>
</file>

<file path=xl/revisions/revisionLog120.xml><?xml version="1.0" encoding="utf-8"?>
<revisions xmlns="http://schemas.openxmlformats.org/spreadsheetml/2006/main" xmlns:r="http://schemas.openxmlformats.org/officeDocument/2006/relationships">
  <rcc rId="650" sId="1">
    <nc r="G243">
      <f>0.179794*1000</f>
    </nc>
  </rcc>
  <rcc rId="651" sId="1">
    <nc r="I243">
      <f>0.05431*1000</f>
    </nc>
  </rcc>
  <rcc rId="652" sId="2" odxf="1" dxf="1">
    <nc r="F246">
      <f>0.179794*1000</f>
    </nc>
    <odxf>
      <alignment horizontal="general" vertical="bottom" readingOrder="0"/>
    </odxf>
    <ndxf>
      <alignment horizontal="right" vertical="top" readingOrder="0"/>
    </ndxf>
  </rcc>
  <rcc rId="653" sId="2">
    <nc r="E246" t="inlineStr">
      <is>
        <t>350-ТМ/16 от 23.12.2016</t>
      </is>
    </nc>
  </rcc>
  <rcc rId="654" sId="3">
    <nc r="E245" t="inlineStr">
      <is>
        <t>350-ТМ/16 от 23.12.2016</t>
      </is>
    </nc>
  </rcc>
  <rcc rId="655" sId="3" odxf="1" dxf="1">
    <nc r="F245">
      <f>0.179794*1000</f>
    </nc>
    <odxf>
      <alignment horizontal="general" vertical="bottom" readingOrder="0"/>
    </odxf>
    <ndxf>
      <alignment horizontal="right" vertical="top" readingOrder="0"/>
    </ndxf>
  </rcc>
  <rcc rId="656" sId="1">
    <nc r="I244">
      <f>0.040915*1000</f>
    </nc>
  </rcc>
  <rcc rId="657" sId="1">
    <nc r="G244">
      <f>0.157566*1000</f>
    </nc>
  </rcc>
  <rcc rId="658" sId="2" odxf="1" dxf="1">
    <nc r="F247">
      <f>0.157566*1000</f>
    </nc>
    <odxf>
      <alignment horizontal="general" vertical="bottom" readingOrder="0"/>
    </odxf>
    <ndxf>
      <alignment horizontal="right" vertical="top" readingOrder="0"/>
    </ndxf>
  </rcc>
  <rcc rId="659" sId="2">
    <nc r="E247" t="inlineStr">
      <is>
        <t>351-ТМ/16 от 23.12.2016</t>
      </is>
    </nc>
  </rcc>
  <rcc rId="660" sId="3">
    <nc r="E246" t="inlineStr">
      <is>
        <t>351-ТМ/16 от 23.12.2016</t>
      </is>
    </nc>
  </rcc>
  <rcc rId="661" sId="3" odxf="1" dxf="1">
    <nc r="F246">
      <f>0.157566*1000</f>
    </nc>
    <odxf>
      <alignment horizontal="general" vertical="bottom" readingOrder="0"/>
    </odxf>
    <ndxf>
      <alignment horizontal="right" vertical="top" readingOrder="0"/>
    </ndxf>
  </rcc>
  <rcc rId="662" sId="1">
    <nc r="I245">
      <f>0.040915*1000</f>
    </nc>
  </rcc>
  <rcc rId="663" sId="1">
    <nc r="G245">
      <f>0.157566*1000</f>
    </nc>
  </rcc>
  <rcc rId="664" sId="2" odxf="1" dxf="1">
    <nc r="F248">
      <f>0.157566*1000</f>
    </nc>
    <odxf>
      <alignment horizontal="general" vertical="bottom" readingOrder="0"/>
    </odxf>
    <ndxf>
      <alignment horizontal="right" vertical="top" readingOrder="0"/>
    </ndxf>
  </rcc>
  <rcc rId="665" sId="2">
    <nc r="E248" t="inlineStr">
      <is>
        <t>352-ТМ/16 от 23.12.2016</t>
      </is>
    </nc>
  </rcc>
  <rcv guid="{586B0D0F-AFD5-489E-A810-F5CDD42644EC}" action="delete"/>
  <rcv guid="{586B0D0F-AFD5-489E-A810-F5CDD42644EC}" action="add"/>
</revisions>
</file>

<file path=xl/revisions/revisionLog1201.xml><?xml version="1.0" encoding="utf-8"?>
<revisions xmlns="http://schemas.openxmlformats.org/spreadsheetml/2006/main" xmlns:r="http://schemas.openxmlformats.org/officeDocument/2006/relationships">
  <rcc rId="614" sId="1">
    <nc r="I220">
      <f>0.040915*1000</f>
    </nc>
  </rcc>
  <rcc rId="615" sId="1">
    <nc r="G220">
      <f>0.157189*1000</f>
    </nc>
  </rcc>
  <rcc rId="616" sId="2" odxf="1" dxf="1">
    <nc r="F223">
      <f>0.157189*1000</f>
    </nc>
    <odxf>
      <alignment horizontal="general" vertical="bottom" readingOrder="0"/>
    </odxf>
    <ndxf>
      <alignment horizontal="right" vertical="top" readingOrder="0"/>
    </ndxf>
  </rcc>
  <rcc rId="617" sId="2">
    <nc r="E223" t="inlineStr">
      <is>
        <t>342-ТМ/16 от 23.12.2016</t>
      </is>
    </nc>
  </rcc>
  <rcc rId="618" sId="3">
    <nc r="E222" t="inlineStr">
      <is>
        <t>342-ТМ/16 от 23.12.2016</t>
      </is>
    </nc>
  </rcc>
  <rcc rId="619" sId="3" odxf="1" dxf="1">
    <nc r="F222">
      <f>0.157189*1000</f>
    </nc>
    <odxf>
      <alignment horizontal="general" vertical="bottom" readingOrder="0"/>
    </odxf>
    <ndxf>
      <alignment horizontal="right" vertical="top" readingOrder="0"/>
    </ndxf>
  </rcc>
  <rcv guid="{586B0D0F-AFD5-489E-A810-F5CDD42644EC}" action="delete"/>
  <rcv guid="{586B0D0F-AFD5-489E-A810-F5CDD42644EC}" action="add"/>
</revisions>
</file>

<file path=xl/revisions/revisionLog121.xml><?xml version="1.0" encoding="utf-8"?>
<revisions xmlns="http://schemas.openxmlformats.org/spreadsheetml/2006/main" xmlns:r="http://schemas.openxmlformats.org/officeDocument/2006/relationships">
  <rcc rId="1797" sId="2">
    <oc r="F103">
      <v>160795</v>
    </oc>
    <nc r="F103">
      <f>0.160795*1000</f>
    </nc>
  </rcc>
  <rfmt sheetId="1" sqref="G103">
    <dxf>
      <fill>
        <patternFill>
          <bgColor theme="0"/>
        </patternFill>
      </fill>
    </dxf>
  </rfmt>
  <rcc rId="1798" sId="2">
    <oc r="F114">
      <f>0.226298*1000</f>
    </oc>
    <nc r="F114">
      <f>0.126298*1000</f>
    </nc>
  </rcc>
  <rfmt sheetId="1" sqref="G114">
    <dxf>
      <fill>
        <patternFill>
          <bgColor theme="0"/>
        </patternFill>
      </fill>
    </dxf>
  </rfmt>
  <rcc rId="1799" sId="1">
    <oc r="G183">
      <f>(962.984+3013.943+2936.401)*1000</f>
    </oc>
    <nc r="G183">
      <f>(0.962984+3.013943+2.936401)*1000</f>
    </nc>
  </rcc>
  <rcv guid="{586B0D0F-AFD5-489E-A810-F5CDD42644EC}" action="delete"/>
  <rcv guid="{586B0D0F-AFD5-489E-A810-F5CDD42644EC}" action="add"/>
</revisions>
</file>

<file path=xl/revisions/revisionLog1211.xml><?xml version="1.0" encoding="utf-8"?>
<revisions xmlns="http://schemas.openxmlformats.org/spreadsheetml/2006/main" xmlns:r="http://schemas.openxmlformats.org/officeDocument/2006/relationships">
  <rfmt sheetId="1" sqref="G54">
    <dxf>
      <fill>
        <patternFill>
          <bgColor theme="0"/>
        </patternFill>
      </fill>
    </dxf>
  </rfmt>
  <rcc rId="1794" sId="2">
    <oc r="F64">
      <f>0.58071*1000</f>
    </oc>
    <nc r="F64">
      <f>0.058071*1000</f>
    </nc>
  </rcc>
  <rcv guid="{586B0D0F-AFD5-489E-A810-F5CDD42644EC}" action="delete"/>
  <rcv guid="{586B0D0F-AFD5-489E-A810-F5CDD42644EC}" action="add"/>
</revisions>
</file>

<file path=xl/revisions/revisionLog12111.xml><?xml version="1.0" encoding="utf-8"?>
<revisions xmlns="http://schemas.openxmlformats.org/spreadsheetml/2006/main" xmlns:r="http://schemas.openxmlformats.org/officeDocument/2006/relationships">
  <rcc rId="20" sId="1">
    <nc r="G253">
      <f>0.022228*1000</f>
    </nc>
  </rcc>
  <rcc rId="21" sId="1">
    <nc r="I253">
      <f>0.000432*1000</f>
    </nc>
  </rcc>
  <rcc rId="22" sId="2" odxf="1" dxf="1">
    <nc r="F256">
      <f>0.022228*1000</f>
    </nc>
    <odxf>
      <fill>
        <patternFill patternType="none">
          <bgColor indexed="65"/>
        </patternFill>
      </fill>
      <alignment horizontal="general" vertical="bottom" readingOrder="0"/>
    </odxf>
    <ndxf>
      <fill>
        <patternFill patternType="solid">
          <bgColor theme="9" tint="0.79998168889431442"/>
        </patternFill>
      </fill>
      <alignment horizontal="right" vertical="top" readingOrder="0"/>
    </ndxf>
  </rcc>
  <rcc rId="23" sId="2">
    <nc r="E256" t="inlineStr">
      <is>
        <t>5-48-А/16 от 30.12.2016</t>
      </is>
    </nc>
  </rcc>
  <rcc rId="24" sId="3">
    <nc r="E255" t="inlineStr">
      <is>
        <t>5-48-А/16 от 30.12.2016</t>
      </is>
    </nc>
  </rcc>
  <rcc rId="25" sId="3" odxf="1" dxf="1">
    <nc r="F255">
      <f>0.022228*1000</f>
    </nc>
    <odxf>
      <fill>
        <patternFill patternType="none">
          <bgColor indexed="65"/>
        </patternFill>
      </fill>
      <alignment horizontal="general" vertical="bottom" readingOrder="0"/>
    </odxf>
    <ndxf>
      <fill>
        <patternFill patternType="solid">
          <bgColor theme="9" tint="0.79998168889431442"/>
        </patternFill>
      </fill>
      <alignment horizontal="right" vertical="top" readingOrder="0"/>
    </ndxf>
  </rcc>
</revisions>
</file>

<file path=xl/revisions/revisionLog121111.xml><?xml version="1.0" encoding="utf-8"?>
<revisions xmlns="http://schemas.openxmlformats.org/spreadsheetml/2006/main" xmlns:r="http://schemas.openxmlformats.org/officeDocument/2006/relationships">
  <rcc rId="14" sId="1">
    <nc r="G252">
      <f>0.043616*1000</f>
    </nc>
  </rcc>
  <rcc rId="15" sId="1">
    <nc r="I252">
      <f>0.000799*1000</f>
    </nc>
  </rcc>
  <rcc rId="16" sId="2" odxf="1" dxf="1">
    <nc r="F255">
      <f>0.043616*1000</f>
    </nc>
    <odxf>
      <alignment horizontal="general" vertical="bottom" readingOrder="0"/>
    </odxf>
    <ndxf>
      <alignment horizontal="right" vertical="top" readingOrder="0"/>
    </ndxf>
  </rcc>
  <rcc rId="17" sId="2">
    <nc r="E255" t="inlineStr">
      <is>
        <t>5-70-А/16 от 30.12.2016</t>
      </is>
    </nc>
  </rcc>
  <rcc rId="18" sId="3">
    <nc r="E254" t="inlineStr">
      <is>
        <t>5-70-А/16 от 30.12.2016</t>
      </is>
    </nc>
  </rcc>
  <rcc rId="19" sId="3" odxf="1" dxf="1">
    <nc r="F254">
      <f>0.043616*1000</f>
    </nc>
    <odxf>
      <alignment horizontal="general" vertical="bottom" readingOrder="0"/>
    </odxf>
    <ndxf>
      <alignment horizontal="right" vertical="top" readingOrder="0"/>
    </ndxf>
  </rcc>
</revisions>
</file>

<file path=xl/revisions/revisionLog12112.xml><?xml version="1.0" encoding="utf-8"?>
<revisions xmlns="http://schemas.openxmlformats.org/spreadsheetml/2006/main" xmlns:r="http://schemas.openxmlformats.org/officeDocument/2006/relationships">
  <rcc rId="1514" sId="3">
    <oc r="C34" t="inlineStr">
      <is>
        <t>Счет-фактура №</t>
      </is>
    </oc>
    <nc r="C34"/>
  </rcc>
  <rcc rId="1515" sId="3">
    <oc r="C35" t="inlineStr">
      <is>
        <t>Счет-фактура №</t>
      </is>
    </oc>
    <nc r="C35" t="inlineStr">
      <is>
        <t>Счет-фактура №687</t>
      </is>
    </nc>
  </rcc>
  <rcc rId="1516" sId="3">
    <nc r="D35">
      <v>4</v>
    </nc>
  </rcc>
  <rcc rId="1517" sId="3">
    <oc r="C37" t="inlineStr">
      <is>
        <t>Счет-фактура №</t>
      </is>
    </oc>
    <nc r="C37" t="inlineStr">
      <is>
        <t>Счет-фактура №689</t>
      </is>
    </nc>
  </rcc>
  <rcc rId="1518" sId="3">
    <nc r="D37">
      <v>5</v>
    </nc>
  </rcc>
  <rcc rId="1519" sId="3">
    <oc r="C38" t="inlineStr">
      <is>
        <t>Счет-фактура №</t>
      </is>
    </oc>
    <nc r="C38" t="inlineStr">
      <is>
        <t>Счет-фактура №690</t>
      </is>
    </nc>
  </rcc>
  <rcc rId="1520" sId="3">
    <nc r="D38">
      <v>4</v>
    </nc>
  </rcc>
  <rcc rId="1521" sId="3">
    <oc r="C39" t="inlineStr">
      <is>
        <t>Счет-фактура №</t>
      </is>
    </oc>
    <nc r="C39" t="inlineStr">
      <is>
        <t>Счет-фактура №691</t>
      </is>
    </nc>
  </rcc>
  <rcc rId="1522" sId="3">
    <nc r="D39">
      <v>4</v>
    </nc>
  </rcc>
  <rcc rId="1523" sId="3">
    <oc r="C40" t="inlineStr">
      <is>
        <t>Счет-фактура №</t>
      </is>
    </oc>
    <nc r="C40" t="inlineStr">
      <is>
        <t>Счет-фактура №692</t>
      </is>
    </nc>
  </rcc>
  <rcc rId="1524" sId="3">
    <nc r="D40">
      <v>4</v>
    </nc>
  </rcc>
  <rcc rId="1525" sId="3">
    <oc r="C41" t="inlineStr">
      <is>
        <t>Счет-фактура №</t>
      </is>
    </oc>
    <nc r="C41" t="inlineStr">
      <is>
        <t>Счет-фактура №693</t>
      </is>
    </nc>
  </rcc>
  <rcc rId="1526" sId="3">
    <nc r="D41">
      <v>4</v>
    </nc>
  </rcc>
  <rcc rId="1527" sId="3">
    <oc r="C43" t="inlineStr">
      <is>
        <t>Счет-фактура №</t>
      </is>
    </oc>
    <nc r="C43" t="inlineStr">
      <is>
        <t>Счет-фактура №695</t>
      </is>
    </nc>
  </rcc>
  <rcc rId="1528" sId="3">
    <nc r="D43">
      <v>5</v>
    </nc>
  </rcc>
  <rcc rId="1529" sId="3">
    <oc r="C44" t="inlineStr">
      <is>
        <t>Счет-фактура №</t>
      </is>
    </oc>
    <nc r="C44" t="inlineStr">
      <is>
        <t>Счет-фактура №696</t>
      </is>
    </nc>
  </rcc>
  <rcc rId="1530" sId="3">
    <nc r="D44">
      <v>4</v>
    </nc>
  </rcc>
  <rcc rId="1531" sId="3">
    <oc r="C53" t="inlineStr">
      <is>
        <t>Счет-фактура №</t>
      </is>
    </oc>
    <nc r="C53" t="inlineStr">
      <is>
        <t>Счет-фактура №704</t>
      </is>
    </nc>
  </rcc>
  <rcc rId="1532" sId="3">
    <nc r="D53">
      <v>4</v>
    </nc>
  </rcc>
  <rcc rId="1533" sId="3">
    <oc r="C54" t="inlineStr">
      <is>
        <t>Счет-фактура №</t>
      </is>
    </oc>
    <nc r="C54" t="inlineStr">
      <is>
        <t>Счет-фактура №705</t>
      </is>
    </nc>
  </rcc>
  <rcc rId="1534" sId="3">
    <nc r="D54">
      <v>8</v>
    </nc>
  </rcc>
  <rcc rId="1535" sId="3">
    <oc r="C55" t="inlineStr">
      <is>
        <t>Счет-фактура №</t>
      </is>
    </oc>
    <nc r="C55" t="inlineStr">
      <is>
        <t>Счет-фактура №538</t>
      </is>
    </nc>
  </rcc>
  <rcc rId="1536" sId="3">
    <nc r="D55">
      <v>8</v>
    </nc>
  </rcc>
  <rcc rId="1537" sId="3">
    <oc r="C60" t="inlineStr">
      <is>
        <t>Счет-фактура №</t>
      </is>
    </oc>
    <nc r="C60" t="inlineStr">
      <is>
        <t>Счет-фактура №527</t>
      </is>
    </nc>
  </rcc>
  <rcc rId="1538" sId="3">
    <nc r="D60">
      <v>8</v>
    </nc>
  </rcc>
  <rcc rId="1539" sId="3">
    <oc r="C62" t="inlineStr">
      <is>
        <t>Счет-фактура №</t>
      </is>
    </oc>
    <nc r="C62" t="inlineStr">
      <is>
        <t>Счет-фактура №711</t>
      </is>
    </nc>
  </rcc>
  <rcc rId="1540" sId="3">
    <nc r="D62">
      <v>8</v>
    </nc>
  </rcc>
  <rcc rId="1541" sId="3">
    <oc r="C69" t="inlineStr">
      <is>
        <t>Счет-фактура №</t>
      </is>
    </oc>
    <nc r="C69" t="inlineStr">
      <is>
        <t>Счет-фактура №716</t>
      </is>
    </nc>
  </rcc>
  <rcc rId="1542" sId="3">
    <nc r="D69">
      <v>4</v>
    </nc>
  </rcc>
  <rcc rId="1543" sId="3">
    <oc r="C70" t="inlineStr">
      <is>
        <t>Счет-фактура №</t>
      </is>
    </oc>
    <nc r="C70" t="inlineStr">
      <is>
        <t>Счет-фактура №717</t>
      </is>
    </nc>
  </rcc>
  <rcc rId="1544" sId="3">
    <nc r="D70">
      <v>8</v>
    </nc>
  </rcc>
  <rcc rId="1545" sId="3">
    <oc r="C71" t="inlineStr">
      <is>
        <t>Счет-фактура №</t>
      </is>
    </oc>
    <nc r="C71" t="inlineStr">
      <is>
        <t>Счет-фактура №718</t>
      </is>
    </nc>
  </rcc>
  <rcc rId="1546" sId="3">
    <nc r="D71">
      <v>9</v>
    </nc>
  </rcc>
</revisions>
</file>

<file path=xl/revisions/revisionLog121121.xml><?xml version="1.0" encoding="utf-8"?>
<revisions xmlns="http://schemas.openxmlformats.org/spreadsheetml/2006/main" xmlns:r="http://schemas.openxmlformats.org/officeDocument/2006/relationships">
  <rcc rId="26" sId="1">
    <nc r="G254">
      <f>0.045254*1000</f>
    </nc>
  </rcc>
  <rcc rId="27" sId="1">
    <nc r="I254">
      <f>0.000322*1000</f>
    </nc>
  </rcc>
  <rcc rId="28" sId="2" odxf="1" dxf="1">
    <nc r="F257">
      <f>0.045254*1000</f>
    </nc>
    <odxf>
      <alignment horizontal="general" vertical="bottom" readingOrder="0"/>
    </odxf>
    <ndxf>
      <alignment horizontal="right" vertical="top" readingOrder="0"/>
    </ndxf>
  </rcc>
  <rcc rId="29" sId="2">
    <nc r="E257" t="inlineStr">
      <is>
        <t>5-111-А/16 от 30.12.2016</t>
      </is>
    </nc>
  </rcc>
  <rcc rId="30" sId="3">
    <nc r="E256" t="inlineStr">
      <is>
        <t>5-111-А/16 от 30.12.2016</t>
      </is>
    </nc>
  </rcc>
  <rcc rId="31" sId="3" odxf="1" dxf="1">
    <nc r="F256">
      <f>0.045254*1000</f>
    </nc>
    <odxf>
      <alignment horizontal="general" vertical="bottom" readingOrder="0"/>
    </odxf>
    <ndxf>
      <alignment horizontal="right" vertical="top" readingOrder="0"/>
    </ndxf>
  </rcc>
</revisions>
</file>

<file path=xl/revisions/revisionLog1212.xml><?xml version="1.0" encoding="utf-8"?>
<revisions xmlns="http://schemas.openxmlformats.org/spreadsheetml/2006/main" xmlns:r="http://schemas.openxmlformats.org/officeDocument/2006/relationships">
  <rcc rId="32" sId="1">
    <nc r="G255">
      <f>0.059957*1000</f>
    </nc>
  </rcc>
  <rcc rId="33" sId="1">
    <nc r="I255">
      <f>0.0228*1000</f>
    </nc>
  </rcc>
  <rcc rId="34" sId="2">
    <nc r="F258">
      <f>0.059957*1000</f>
    </nc>
  </rcc>
  <rcc rId="35" sId="2">
    <nc r="E258" t="inlineStr">
      <is>
        <t>5-34-А/16 от 30.12.2016</t>
      </is>
    </nc>
  </rcc>
  <rcc rId="36" sId="3">
    <nc r="E257" t="inlineStr">
      <is>
        <t>5-34-А/16 от 30.12.2016</t>
      </is>
    </nc>
  </rcc>
  <rcc rId="37" sId="3">
    <nc r="F257">
      <f>0.059957*1000</f>
    </nc>
  </rcc>
</revisions>
</file>

<file path=xl/revisions/revisionLog122.xml><?xml version="1.0" encoding="utf-8"?>
<revisions xmlns="http://schemas.openxmlformats.org/spreadsheetml/2006/main" xmlns:r="http://schemas.openxmlformats.org/officeDocument/2006/relationships">
  <rcc rId="692" sId="1">
    <nc r="I236">
      <f>0.040915*1000</f>
    </nc>
  </rcc>
  <rcc rId="693" sId="1">
    <nc r="G236">
      <f>0.157566*1000</f>
    </nc>
  </rcc>
  <rcc rId="694" sId="2" odxf="1" dxf="1">
    <nc r="F239">
      <f>0.157566*1000</f>
    </nc>
    <odxf>
      <alignment horizontal="general" vertical="bottom" readingOrder="0"/>
    </odxf>
    <ndxf>
      <alignment horizontal="right" vertical="top" readingOrder="0"/>
    </ndxf>
  </rcc>
  <rm rId="695" sheetId="2" source="E241" destination="E239" sourceSheetId="2">
    <rfmt sheetId="2" sqref="E239" start="0" length="0">
      <dxf>
        <font>
          <sz val="10"/>
          <color theme="1"/>
          <name val="Calibri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cc rId="696" sId="2">
    <oc r="E239" t="inlineStr">
      <is>
        <t>345-ТМ/16 от 23.12.2016</t>
      </is>
    </oc>
    <nc r="E239" t="inlineStr">
      <is>
        <t>343-ТМ/16 от 23.12.2016</t>
      </is>
    </nc>
  </rcc>
  <rcc rId="697" sId="3">
    <nc r="E238" t="inlineStr">
      <is>
        <t>343-ТМ/16 от 23.12.2016</t>
      </is>
    </nc>
  </rcc>
  <rcc rId="698" sId="3" odxf="1" dxf="1">
    <nc r="F238">
      <f>0.157566*1000</f>
    </nc>
    <odxf>
      <alignment horizontal="general" vertical="bottom" readingOrder="0"/>
    </odxf>
    <ndxf>
      <alignment horizontal="right" vertical="top" readingOrder="0"/>
    </ndxf>
  </rcc>
  <rcv guid="{586B0D0F-AFD5-489E-A810-F5CDD42644EC}" action="delete"/>
  <rcv guid="{586B0D0F-AFD5-489E-A810-F5CDD42644EC}" action="add"/>
</revisions>
</file>

<file path=xl/revisions/revisionLog1221.xml><?xml version="1.0" encoding="utf-8"?>
<revisions xmlns="http://schemas.openxmlformats.org/spreadsheetml/2006/main" xmlns:r="http://schemas.openxmlformats.org/officeDocument/2006/relationships">
  <rcc rId="678" sId="3">
    <nc r="E244" t="inlineStr">
      <is>
        <t>349-ТМ/16 от 23.12.2016</t>
      </is>
    </nc>
  </rcc>
  <rcc rId="679" sId="3" odxf="1" dxf="1">
    <nc r="F244">
      <f>0.125083*1000</f>
    </nc>
    <odxf>
      <alignment horizontal="general" vertical="bottom" readingOrder="0"/>
    </odxf>
    <ndxf>
      <alignment horizontal="right" vertical="top" readingOrder="0"/>
    </ndxf>
  </rcc>
  <rcc rId="680" sId="1">
    <nc r="I240">
      <f>0.040915*1000</f>
    </nc>
  </rcc>
  <rcc rId="681" sId="1">
    <nc r="G240">
      <f>0.157566*1000</f>
    </nc>
  </rcc>
  <rcc rId="682" sId="2" odxf="1" dxf="1">
    <nc r="F243">
      <f>0.157566*1000</f>
    </nc>
    <odxf>
      <alignment horizontal="general" vertical="bottom" readingOrder="0"/>
    </odxf>
    <ndxf>
      <alignment horizontal="right" vertical="top" readingOrder="0"/>
    </ndxf>
  </rcc>
  <rcc rId="683" sId="2">
    <nc r="E243" t="inlineStr">
      <is>
        <t>347-ТМ/16 от 23.12.2016</t>
      </is>
    </nc>
  </rcc>
  <rcc rId="684" sId="3">
    <nc r="E242" t="inlineStr">
      <is>
        <t>347-ТМ/16 от 23.12.2016</t>
      </is>
    </nc>
  </rcc>
  <rcc rId="685" sId="3" odxf="1" dxf="1">
    <nc r="F242">
      <f>0.157566*1000</f>
    </nc>
    <odxf>
      <alignment horizontal="general" vertical="bottom" readingOrder="0"/>
    </odxf>
    <ndxf>
      <alignment horizontal="right" vertical="top" readingOrder="0"/>
    </ndxf>
  </rcc>
  <rcv guid="{586B0D0F-AFD5-489E-A810-F5CDD42644EC}" action="delete"/>
  <rcv guid="{586B0D0F-AFD5-489E-A810-F5CDD42644EC}" action="add"/>
</revisions>
</file>

<file path=xl/revisions/revisionLog123.xml><?xml version="1.0" encoding="utf-8"?>
<revisions xmlns="http://schemas.openxmlformats.org/spreadsheetml/2006/main" xmlns:r="http://schemas.openxmlformats.org/officeDocument/2006/relationships">
  <rfmt sheetId="2" sqref="B7:J264" start="0" length="2147483647">
    <dxf>
      <font>
        <b/>
      </font>
    </dxf>
  </rfmt>
  <rfmt sheetId="2" sqref="B7:J264" start="0" length="2147483647">
    <dxf>
      <font>
        <b val="0"/>
      </font>
    </dxf>
  </rfmt>
  <rcv guid="{586B0D0F-AFD5-489E-A810-F5CDD42644EC}" action="delete"/>
  <rcv guid="{586B0D0F-AFD5-489E-A810-F5CDD42644EC}" action="add"/>
</revisions>
</file>

<file path=xl/revisions/revisionLog1231.xml><?xml version="1.0" encoding="utf-8"?>
<revisions xmlns="http://schemas.openxmlformats.org/spreadsheetml/2006/main" xmlns:r="http://schemas.openxmlformats.org/officeDocument/2006/relationships">
  <rfmt sheetId="3" xfDxf="1" sqref="C7" start="0" length="0">
    <dxf>
      <font>
        <sz val="10"/>
        <color auto="1"/>
      </font>
      <alignment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C15" start="0" length="0">
    <dxf>
      <alignment horizontal="general" vertical="top" readingOrder="0"/>
    </dxf>
  </rfmt>
  <rfmt sheetId="3" sqref="C16" start="0" length="0">
    <dxf>
      <alignment horizontal="general" vertical="top" readingOrder="0"/>
    </dxf>
  </rfmt>
  <rfmt sheetId="3" sqref="C17" start="0" length="0">
    <dxf>
      <alignment horizontal="general" vertical="top" readingOrder="0"/>
    </dxf>
  </rfmt>
  <rfmt sheetId="3" sqref="C19" start="0" length="0">
    <dxf>
      <alignment horizontal="general" vertical="top" readingOrder="0"/>
    </dxf>
  </rfmt>
  <rfmt sheetId="3" sqref="C20" start="0" length="0">
    <dxf>
      <alignment horizontal="general" vertical="top" readingOrder="0"/>
    </dxf>
  </rfmt>
  <rfmt sheetId="3" sqref="C21" start="0" length="0">
    <dxf>
      <alignment horizontal="general" vertical="top" readingOrder="0"/>
    </dxf>
  </rfmt>
  <rcc rId="1320" sId="3" odxf="1" dxf="1">
    <nc r="C23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21" sId="3" odxf="1" dxf="1">
    <nc r="C24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22" sId="3" odxf="1" dxf="1">
    <nc r="C25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23" sId="3" odxf="1" dxf="1">
    <nc r="C26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24" sId="3" odxf="1" dxf="1">
    <nc r="C27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25" sId="3" odxf="1" dxf="1">
    <nc r="C28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26" sId="3" odxf="1" dxf="1">
    <nc r="C29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27" sId="3" odxf="1" dxf="1">
    <nc r="C31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28" sId="3" odxf="1" dxf="1">
    <nc r="C32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29" sId="3" odxf="1" dxf="1">
    <nc r="C33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30" sId="3" odxf="1" dxf="1">
    <nc r="C34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31" sId="3" odxf="1" dxf="1">
    <nc r="C35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32" sId="3" odxf="1" dxf="1">
    <nc r="C37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33" sId="3" odxf="1" dxf="1">
    <nc r="C38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34" sId="3" odxf="1" dxf="1">
    <nc r="C39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35" sId="3" odxf="1" dxf="1">
    <nc r="C40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36" sId="3" odxf="1" dxf="1">
    <nc r="C41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37" sId="3" odxf="1" dxf="1">
    <nc r="C43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38" sId="3" odxf="1" dxf="1">
    <nc r="C44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39" sId="3" odxf="1" dxf="1">
    <nc r="C53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40" sId="3" odxf="1" dxf="1">
    <nc r="C54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41" sId="3" odxf="1" dxf="1">
    <nc r="C55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42" sId="3" odxf="1" dxf="1">
    <nc r="C60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43" sId="3" odxf="1" dxf="1">
    <nc r="C62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44" sId="3" odxf="1" dxf="1">
    <nc r="C69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45" sId="3" odxf="1" dxf="1">
    <nc r="C70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46" sId="3" odxf="1" dxf="1">
    <nc r="C71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47" sId="3" odxf="1" dxf="1">
    <nc r="C76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48" sId="3" odxf="1" dxf="1">
    <nc r="C78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49" sId="3" odxf="1" dxf="1">
    <nc r="C79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50" sId="3" odxf="1" dxf="1">
    <nc r="C80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51" sId="3" odxf="1" dxf="1">
    <nc r="C89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52" sId="3" odxf="1" dxf="1">
    <nc r="C90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53" sId="3" odxf="1" dxf="1">
    <nc r="C91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54" sId="3" odxf="1" dxf="1">
    <nc r="C92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55" sId="3" odxf="1" dxf="1">
    <nc r="C93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56" sId="3" odxf="1" dxf="1">
    <nc r="C94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57" sId="3" odxf="1" dxf="1">
    <nc r="C95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58" sId="3" odxf="1" dxf="1">
    <nc r="C96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59" sId="3" odxf="1" dxf="1">
    <nc r="C98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60" sId="3" odxf="1" dxf="1">
    <nc r="C100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61" sId="3" odxf="1" dxf="1">
    <nc r="C141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62" sId="3" odxf="1" dxf="1">
    <nc r="C142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63" sId="3" odxf="1" dxf="1">
    <nc r="C143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64" sId="3" odxf="1" dxf="1">
    <nc r="C144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65" sId="3" odxf="1" dxf="1">
    <nc r="C145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66" sId="3" odxf="1" dxf="1">
    <nc r="C146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67" sId="3" odxf="1" dxf="1">
    <nc r="C147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68" sId="3" odxf="1" dxf="1">
    <nc r="C148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69" sId="3" odxf="1" dxf="1">
    <nc r="C149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70" sId="3" odxf="1" dxf="1">
    <nc r="C150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71" sId="3" odxf="1" dxf="1">
    <nc r="C151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72" sId="3" odxf="1" dxf="1">
    <nc r="C152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73" sId="3" odxf="1" dxf="1">
    <nc r="C153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74" sId="3" odxf="1" dxf="1">
    <nc r="C154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75" sId="3" odxf="1" dxf="1">
    <nc r="C156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76" sId="3" odxf="1" dxf="1">
    <nc r="C157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77" sId="3" odxf="1" dxf="1">
    <nc r="C158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78" sId="3" odxf="1" dxf="1">
    <nc r="C161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79" sId="3" odxf="1" dxf="1">
    <nc r="C164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80" sId="3" odxf="1" dxf="1">
    <nc r="C165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81" sId="3" odxf="1" dxf="1">
    <nc r="C166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82" sId="3" odxf="1" dxf="1">
    <nc r="C167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83" sId="3" odxf="1" dxf="1">
    <nc r="C168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84" sId="3" odxf="1" dxf="1">
    <nc r="C169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85" sId="3" odxf="1" dxf="1">
    <nc r="C170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86" sId="3" odxf="1" dxf="1">
    <nc r="C172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87" sId="3" odxf="1" dxf="1">
    <nc r="C175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88" sId="3" odxf="1" dxf="1">
    <nc r="C176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89" sId="3" odxf="1" dxf="1">
    <nc r="C177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90" sId="3" odxf="1" dxf="1">
    <nc r="C178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91" sId="3" odxf="1" dxf="1">
    <nc r="C179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92" sId="3" odxf="1" dxf="1">
    <nc r="C187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93" sId="3" odxf="1" dxf="1">
    <nc r="C188" t="inlineStr">
      <is>
        <t>Счет-фактура №</t>
      </is>
    </nc>
    <odxf>
      <alignment horizontal="left" vertical="center" readingOrder="0"/>
    </odxf>
    <ndxf>
      <alignment horizontal="general" vertical="top" readingOrder="0"/>
    </ndxf>
  </rcc>
  <rcc rId="1394" sId="3">
    <nc r="C190" t="inlineStr">
      <is>
        <t>Счет-фактура №</t>
      </is>
    </nc>
  </rcc>
  <rcc rId="1395" sId="3">
    <nc r="C191" t="inlineStr">
      <is>
        <t>Счет-фактура №</t>
      </is>
    </nc>
  </rcc>
  <rcc rId="1396" sId="3">
    <nc r="C192" t="inlineStr">
      <is>
        <t>Счет-фактура №</t>
      </is>
    </nc>
  </rcc>
  <rcc rId="1397" sId="3">
    <nc r="C193" t="inlineStr">
      <is>
        <t>Счет-фактура №</t>
      </is>
    </nc>
  </rcc>
  <rcc rId="1398" sId="3">
    <nc r="C194" t="inlineStr">
      <is>
        <t>Счет-фактура №</t>
      </is>
    </nc>
  </rcc>
  <rcc rId="1399" sId="3">
    <nc r="C195" t="inlineStr">
      <is>
        <t>Счет-фактура №</t>
      </is>
    </nc>
  </rcc>
  <rcc rId="1400" sId="3">
    <nc r="C196" t="inlineStr">
      <is>
        <t>Счет-фактура №</t>
      </is>
    </nc>
  </rcc>
  <rcc rId="1401" sId="3">
    <nc r="C197" t="inlineStr">
      <is>
        <t>Счет-фактура №</t>
      </is>
    </nc>
  </rcc>
  <rcc rId="1402" sId="3">
    <nc r="C198" t="inlineStr">
      <is>
        <t>Счет-фактура №</t>
      </is>
    </nc>
  </rcc>
  <rcc rId="1403" sId="3">
    <nc r="C199" t="inlineStr">
      <is>
        <t>Счет-фактура №</t>
      </is>
    </nc>
  </rcc>
  <rcc rId="1404" sId="3">
    <nc r="C200" t="inlineStr">
      <is>
        <t>Счет-фактура №</t>
      </is>
    </nc>
  </rcc>
  <rcc rId="1405" sId="3">
    <nc r="C201" t="inlineStr">
      <is>
        <t>Счет-фактура №</t>
      </is>
    </nc>
  </rcc>
  <rcc rId="1406" sId="3">
    <nc r="C202" t="inlineStr">
      <is>
        <t>Счет-фактура №</t>
      </is>
    </nc>
  </rcc>
  <rcc rId="1407" sId="3">
    <nc r="C203" t="inlineStr">
      <is>
        <t>Счет-фактура №</t>
      </is>
    </nc>
  </rcc>
  <rcc rId="1408" sId="3">
    <nc r="C204" t="inlineStr">
      <is>
        <t>Счет-фактура №</t>
      </is>
    </nc>
  </rcc>
  <rcc rId="1409" sId="3">
    <nc r="C205" t="inlineStr">
      <is>
        <t>Счет-фактура №</t>
      </is>
    </nc>
  </rcc>
  <rcc rId="1410" sId="3">
    <nc r="C206" t="inlineStr">
      <is>
        <t>Счет-фактура №</t>
      </is>
    </nc>
  </rcc>
  <rcc rId="1411" sId="3">
    <nc r="C207" t="inlineStr">
      <is>
        <t>Счет-фактура №</t>
      </is>
    </nc>
  </rcc>
  <rcc rId="1412" sId="3">
    <nc r="C208" t="inlineStr">
      <is>
        <t>Счет-фактура №</t>
      </is>
    </nc>
  </rcc>
  <rcc rId="1413" sId="3">
    <nc r="C209" t="inlineStr">
      <is>
        <t>Счет-фактура №</t>
      </is>
    </nc>
  </rcc>
  <rcc rId="1414" sId="3">
    <nc r="C210" t="inlineStr">
      <is>
        <t>Счет-фактура №</t>
      </is>
    </nc>
  </rcc>
  <rcc rId="1415" sId="3">
    <nc r="C211" t="inlineStr">
      <is>
        <t>Счет-фактура №</t>
      </is>
    </nc>
  </rcc>
  <rcc rId="1416" sId="3">
    <nc r="C212" t="inlineStr">
      <is>
        <t>Счет-фактура №</t>
      </is>
    </nc>
  </rcc>
  <rcc rId="1417" sId="3">
    <nc r="C213" t="inlineStr">
      <is>
        <t>Счет-фактура №</t>
      </is>
    </nc>
  </rcc>
  <rcc rId="1418" sId="3">
    <nc r="C214" t="inlineStr">
      <is>
        <t>Счет-фактура №</t>
      </is>
    </nc>
  </rcc>
  <rcc rId="1419" sId="3">
    <nc r="C215" t="inlineStr">
      <is>
        <t>Счет-фактура №</t>
      </is>
    </nc>
  </rcc>
  <rcc rId="1420" sId="3">
    <nc r="C216" t="inlineStr">
      <is>
        <t>Счет-фактура №</t>
      </is>
    </nc>
  </rcc>
  <rcc rId="1421" sId="3">
    <nc r="C217" t="inlineStr">
      <is>
        <t>Счет-фактура №</t>
      </is>
    </nc>
  </rcc>
  <rcc rId="1422" sId="3">
    <nc r="C218" t="inlineStr">
      <is>
        <t>Счет-фактура №</t>
      </is>
    </nc>
  </rcc>
  <rcc rId="1423" sId="3">
    <nc r="C219" t="inlineStr">
      <is>
        <t>Счет-фактура №</t>
      </is>
    </nc>
  </rcc>
  <rcc rId="1424" sId="3">
    <nc r="C220" t="inlineStr">
      <is>
        <t>Счет-фактура №</t>
      </is>
    </nc>
  </rcc>
  <rcc rId="1425" sId="3">
    <nc r="C221" t="inlineStr">
      <is>
        <t>Счет-фактура №</t>
      </is>
    </nc>
  </rcc>
  <rcc rId="1426" sId="3">
    <nc r="C222" t="inlineStr">
      <is>
        <t>Счет-фактура №</t>
      </is>
    </nc>
  </rcc>
  <rcc rId="1427" sId="3">
    <nc r="C223" t="inlineStr">
      <is>
        <t>Счет-фактура №</t>
      </is>
    </nc>
  </rcc>
  <rcc rId="1428" sId="3">
    <nc r="C224" t="inlineStr">
      <is>
        <t>Счет-фактура №</t>
      </is>
    </nc>
  </rcc>
  <rcc rId="1429" sId="3">
    <nc r="C225" t="inlineStr">
      <is>
        <t>Счет-фактура №</t>
      </is>
    </nc>
  </rcc>
  <rcc rId="1430" sId="3">
    <nc r="C226" t="inlineStr">
      <is>
        <t>Счет-фактура №</t>
      </is>
    </nc>
  </rcc>
  <rcc rId="1431" sId="3">
    <nc r="C227" t="inlineStr">
      <is>
        <t>Счет-фактура №</t>
      </is>
    </nc>
  </rcc>
  <rcc rId="1432" sId="3">
    <nc r="C228" t="inlineStr">
      <is>
        <t>Счет-фактура №</t>
      </is>
    </nc>
  </rcc>
  <rcc rId="1433" sId="3">
    <nc r="C229" t="inlineStr">
      <is>
        <t>Счет-фактура №</t>
      </is>
    </nc>
  </rcc>
  <rcc rId="1434" sId="3">
    <nc r="C230" t="inlineStr">
      <is>
        <t>Счет-фактура №</t>
      </is>
    </nc>
  </rcc>
  <rcc rId="1435" sId="3">
    <nc r="C231" t="inlineStr">
      <is>
        <t>Счет-фактура №</t>
      </is>
    </nc>
  </rcc>
  <rcc rId="1436" sId="3">
    <nc r="C232" t="inlineStr">
      <is>
        <t>Счет-фактура №</t>
      </is>
    </nc>
  </rcc>
  <rcc rId="1437" sId="3">
    <nc r="C233" t="inlineStr">
      <is>
        <t>Счет-фактура №</t>
      </is>
    </nc>
  </rcc>
  <rcc rId="1438" sId="3">
    <nc r="C234" t="inlineStr">
      <is>
        <t>Счет-фактура №</t>
      </is>
    </nc>
  </rcc>
  <rcc rId="1439" sId="3">
    <nc r="C235" t="inlineStr">
      <is>
        <t>Счет-фактура №</t>
      </is>
    </nc>
  </rcc>
  <rcc rId="1440" sId="3">
    <nc r="C236" t="inlineStr">
      <is>
        <t>Счет-фактура №</t>
      </is>
    </nc>
  </rcc>
  <rcc rId="1441" sId="3">
    <nc r="C237" t="inlineStr">
      <is>
        <t>Счет-фактура №</t>
      </is>
    </nc>
  </rcc>
  <rcc rId="1442" sId="3">
    <nc r="C238" t="inlineStr">
      <is>
        <t>Счет-фактура №</t>
      </is>
    </nc>
  </rcc>
  <rcc rId="1443" sId="3">
    <nc r="C239" t="inlineStr">
      <is>
        <t>Счет-фактура №</t>
      </is>
    </nc>
  </rcc>
  <rcc rId="1444" sId="3">
    <nc r="C240" t="inlineStr">
      <is>
        <t>Счет-фактура №</t>
      </is>
    </nc>
  </rcc>
  <rcc rId="1445" sId="3">
    <nc r="C241" t="inlineStr">
      <is>
        <t>Счет-фактура №</t>
      </is>
    </nc>
  </rcc>
  <rcc rId="1446" sId="3">
    <nc r="C242" t="inlineStr">
      <is>
        <t>Счет-фактура №</t>
      </is>
    </nc>
  </rcc>
  <rcc rId="1447" sId="3">
    <nc r="C243" t="inlineStr">
      <is>
        <t>Счет-фактура №</t>
      </is>
    </nc>
  </rcc>
  <rcc rId="1448" sId="3">
    <nc r="C244" t="inlineStr">
      <is>
        <t>Счет-фактура №</t>
      </is>
    </nc>
  </rcc>
  <rcc rId="1449" sId="3">
    <nc r="C245" t="inlineStr">
      <is>
        <t>Счет-фактура №</t>
      </is>
    </nc>
  </rcc>
  <rcc rId="1450" sId="3">
    <nc r="C246" t="inlineStr">
      <is>
        <t>Счет-фактура №</t>
      </is>
    </nc>
  </rcc>
  <rcc rId="1451" sId="3">
    <nc r="C247" t="inlineStr">
      <is>
        <t>Счет-фактура №</t>
      </is>
    </nc>
  </rcc>
  <rcc rId="1452" sId="3">
    <nc r="C248" t="inlineStr">
      <is>
        <t>Счет-фактура №</t>
      </is>
    </nc>
  </rcc>
  <rcc rId="1453" sId="3">
    <nc r="C249" t="inlineStr">
      <is>
        <t>Счет-фактура №</t>
      </is>
    </nc>
  </rcc>
  <rcc rId="1454" sId="3">
    <nc r="C250" t="inlineStr">
      <is>
        <t>Счет-фактура №</t>
      </is>
    </nc>
  </rcc>
  <rcc rId="1455" sId="3">
    <nc r="C251" t="inlineStr">
      <is>
        <t>Счет-фактура №</t>
      </is>
    </nc>
  </rcc>
  <rcc rId="1456" sId="3">
    <nc r="C252" t="inlineStr">
      <is>
        <t>Счет-фактура №</t>
      </is>
    </nc>
  </rcc>
  <rcc rId="1457" sId="3">
    <nc r="C253" t="inlineStr">
      <is>
        <t>Счет-фактура №</t>
      </is>
    </nc>
  </rcc>
  <rcc rId="1458" sId="3">
    <nc r="C254" t="inlineStr">
      <is>
        <t>Счет-фактура №</t>
      </is>
    </nc>
  </rcc>
  <rcc rId="1459" sId="3">
    <nc r="C255" t="inlineStr">
      <is>
        <t>Счет-фактура №</t>
      </is>
    </nc>
  </rcc>
  <rcc rId="1460" sId="3">
    <nc r="C256" t="inlineStr">
      <is>
        <t>Счет-фактура №</t>
      </is>
    </nc>
  </rcc>
  <rcc rId="1461" sId="3">
    <nc r="C257" t="inlineStr">
      <is>
        <t>Счет-фактура №</t>
      </is>
    </nc>
  </rcc>
  <rcc rId="1462" sId="3">
    <nc r="C258" t="inlineStr">
      <is>
        <t>Счет-фактура №</t>
      </is>
    </nc>
  </rcc>
  <rcc rId="1463" sId="3">
    <nc r="C259" t="inlineStr">
      <is>
        <t>Счет-фактура №</t>
      </is>
    </nc>
  </rcc>
  <rcc rId="1464" sId="3">
    <nc r="C260" t="inlineStr">
      <is>
        <t>Счет-фактура №</t>
      </is>
    </nc>
  </rcc>
  <rcc rId="1465" sId="3">
    <nc r="C261" t="inlineStr">
      <is>
        <t>Счет-фактура №</t>
      </is>
    </nc>
  </rcc>
  <rcc rId="1466" sId="3">
    <nc r="C7" t="inlineStr">
      <is>
        <t>Счет-фактура №117</t>
      </is>
    </nc>
  </rcc>
  <rcc rId="1467" sId="3">
    <nc r="D7">
      <v>5</v>
    </nc>
  </rcc>
  <rcc rId="1468" sId="3">
    <nc r="C8" t="inlineStr">
      <is>
        <t>Счет-фактура №120</t>
      </is>
    </nc>
  </rcc>
  <rcc rId="1469" sId="3">
    <nc r="D8">
      <v>5</v>
    </nc>
  </rcc>
  <rcc rId="1470" sId="3">
    <nc r="C9" t="inlineStr">
      <is>
        <t>Счет-фактура №115</t>
      </is>
    </nc>
  </rcc>
  <rcc rId="1471" sId="3">
    <nc r="D9">
      <v>5</v>
    </nc>
  </rcc>
  <rcc rId="1472" sId="3">
    <nc r="C10" t="inlineStr">
      <is>
        <t>Счет-фактура №116</t>
      </is>
    </nc>
  </rcc>
  <rcc rId="1473" sId="3">
    <nc r="D10">
      <v>5</v>
    </nc>
  </rcc>
  <rcc rId="1474" sId="3">
    <nc r="C11" t="inlineStr">
      <is>
        <t>Счет-фактура №121</t>
      </is>
    </nc>
  </rcc>
  <rcc rId="1475" sId="3">
    <nc r="D11">
      <v>5</v>
    </nc>
  </rcc>
  <rcc rId="1476" sId="3">
    <nc r="C12" t="inlineStr">
      <is>
        <t>Счет-фактура №118</t>
      </is>
    </nc>
  </rcc>
  <rcc rId="1477" sId="3">
    <nc r="D12">
      <v>5</v>
    </nc>
  </rcc>
  <rcc rId="1478" sId="3">
    <nc r="C13" t="inlineStr">
      <is>
        <t>Счет-фактура №122</t>
      </is>
    </nc>
  </rcc>
  <rcc rId="1479" sId="3">
    <nc r="D13">
      <v>5</v>
    </nc>
  </rcc>
  <rcc rId="1480" sId="3">
    <nc r="C14" t="inlineStr">
      <is>
        <t>Счет-фактура №119</t>
      </is>
    </nc>
  </rcc>
  <rcc rId="1481" sId="3">
    <nc r="D14">
      <v>5</v>
    </nc>
  </rcc>
  <rcc rId="1482" sId="3">
    <nc r="C15" t="inlineStr">
      <is>
        <t>Счет-фактура №667</t>
      </is>
    </nc>
  </rcc>
  <rcc rId="1483" sId="3">
    <nc r="D15">
      <v>4</v>
    </nc>
  </rcc>
  <rcc rId="1484" sId="3">
    <nc r="C16" t="inlineStr">
      <is>
        <t>Счет-фактура №668</t>
      </is>
    </nc>
  </rcc>
  <rcc rId="1485" sId="3">
    <nc r="D16">
      <v>4</v>
    </nc>
  </rcc>
  <rcc rId="1486" sId="3">
    <nc r="C17" t="inlineStr">
      <is>
        <t>Счет-фактура №669</t>
      </is>
    </nc>
  </rcc>
  <rcc rId="1487" sId="3">
    <nc r="D17">
      <v>4</v>
    </nc>
  </rcc>
  <rcc rId="1488" sId="3">
    <nc r="C19" t="inlineStr">
      <is>
        <t>Счет-фактура №671</t>
      </is>
    </nc>
  </rcc>
  <rcc rId="1489" sId="3">
    <nc r="D19">
      <v>4</v>
    </nc>
  </rcc>
  <rcc rId="1490" sId="3">
    <nc r="C20" t="inlineStr">
      <is>
        <t>Счет-фактура №672</t>
      </is>
    </nc>
  </rcc>
  <rcc rId="1491" sId="3">
    <nc r="D20">
      <v>5</v>
    </nc>
  </rcc>
  <rcc rId="1492" sId="3">
    <nc r="C21" t="inlineStr">
      <is>
        <t>Счет-фактура №673</t>
      </is>
    </nc>
  </rcc>
  <rcc rId="1493" sId="3">
    <nc r="D21">
      <v>9</v>
    </nc>
  </rcc>
</revisions>
</file>

<file path=xl/revisions/revisionLog12311.xml><?xml version="1.0" encoding="utf-8"?>
<revisions xmlns="http://schemas.openxmlformats.org/spreadsheetml/2006/main" xmlns:r="http://schemas.openxmlformats.org/officeDocument/2006/relationships">
  <rcc rId="730" sId="1">
    <nc r="D21" t="inlineStr">
      <is>
        <t>27,29 м2</t>
      </is>
    </nc>
  </rcc>
  <rcc rId="731" sId="1">
    <nc r="D24" t="inlineStr">
      <is>
        <t>52,6 м2</t>
      </is>
    </nc>
  </rcc>
  <rcc rId="732" sId="1">
    <nc r="D32" t="inlineStr">
      <is>
        <t>56,6 м2</t>
      </is>
    </nc>
  </rcc>
  <rcc rId="733" sId="1">
    <nc r="D33" t="inlineStr">
      <is>
        <t>56,7 м2</t>
      </is>
    </nc>
  </rcc>
  <rcc rId="734" sId="1">
    <oc r="D45" t="inlineStr">
      <is>
        <t>1 шт, 0,5 м2</t>
      </is>
    </oc>
    <nc r="D45" t="inlineStr">
      <is>
        <t xml:space="preserve">1 шт, </t>
      </is>
    </nc>
  </rcc>
  <rcc rId="735" sId="1">
    <nc r="D54" t="inlineStr">
      <is>
        <t>28,24 м2</t>
      </is>
    </nc>
  </rcc>
  <rcc rId="736" sId="1">
    <nc r="D55" t="inlineStr">
      <is>
        <t>28,24 м2</t>
      </is>
    </nc>
  </rcc>
  <rcc rId="737" sId="1">
    <nc r="D60" t="inlineStr">
      <is>
        <t>46,74 м2</t>
      </is>
    </nc>
  </rcc>
  <rcc rId="738" sId="1">
    <nc r="D62" t="inlineStr">
      <is>
        <t>33,72 м2</t>
      </is>
    </nc>
  </rcc>
  <rcc rId="739" sId="1">
    <nc r="D70" t="inlineStr">
      <is>
        <t>52,07 м2</t>
      </is>
    </nc>
  </rcc>
  <rcc rId="740" sId="1">
    <nc r="D71" t="inlineStr">
      <is>
        <t>54,48 м2</t>
      </is>
    </nc>
  </rcc>
  <rcc rId="741" sId="1">
    <nc r="D76" t="inlineStr">
      <is>
        <t>50,85 м2</t>
      </is>
    </nc>
  </rcc>
  <rcc rId="742" sId="1">
    <nc r="D78" t="inlineStr">
      <is>
        <t>51,21 м2</t>
      </is>
    </nc>
  </rcc>
  <rcc rId="743" sId="1">
    <nc r="D79" t="inlineStr">
      <is>
        <t>51,63 м2</t>
      </is>
    </nc>
  </rcc>
  <rcc rId="744" sId="1">
    <nc r="D80" t="inlineStr">
      <is>
        <t>52,92 м2</t>
      </is>
    </nc>
  </rcc>
  <rcc rId="745" sId="1">
    <oc r="D84">
      <v>21.4</v>
    </oc>
    <nc r="D84" t="inlineStr">
      <is>
        <t>21,4 м2</t>
      </is>
    </nc>
  </rcc>
  <rcc rId="746" sId="1">
    <oc r="D85">
      <v>42.8</v>
    </oc>
    <nc r="D85" t="inlineStr">
      <is>
        <t>42,8 м2</t>
      </is>
    </nc>
  </rcc>
  <rcc rId="747" sId="1">
    <nc r="D89" t="inlineStr">
      <is>
        <t>34,23 м2</t>
      </is>
    </nc>
  </rcc>
  <rcc rId="748" sId="1">
    <nc r="D90" t="inlineStr">
      <is>
        <t>33 м2</t>
      </is>
    </nc>
  </rcc>
  <rcc rId="749" sId="1">
    <nc r="D91" t="inlineStr">
      <is>
        <t>30,69 м2</t>
      </is>
    </nc>
  </rcc>
  <rcc rId="750" sId="1">
    <nc r="D92" t="inlineStr">
      <is>
        <t>32,82 м2</t>
      </is>
    </nc>
  </rcc>
  <rcc rId="751" sId="1">
    <nc r="D93" t="inlineStr">
      <is>
        <t>28,39 м2</t>
      </is>
    </nc>
  </rcc>
  <rcc rId="752" sId="1">
    <nc r="D94" t="inlineStr">
      <is>
        <t>46,63 м2</t>
      </is>
    </nc>
  </rcc>
  <rcc rId="753" sId="1">
    <nc r="D95" t="inlineStr">
      <is>
        <t>28,8 м2</t>
      </is>
    </nc>
  </rcc>
  <rcc rId="754" sId="1">
    <nc r="D96" t="inlineStr">
      <is>
        <t>28,45 м2</t>
      </is>
    </nc>
  </rcc>
  <rcc rId="755" sId="1">
    <nc r="D97" t="inlineStr">
      <is>
        <t>17,3 м2</t>
      </is>
    </nc>
  </rcc>
  <rcc rId="756" sId="1">
    <nc r="D98">
      <v>28.54</v>
    </nc>
  </rcc>
  <rcc rId="757" sId="1">
    <nc r="D100">
      <v>29.23</v>
    </nc>
  </rcc>
  <rcc rId="758" sId="1">
    <oc r="D102" t="inlineStr">
      <is>
        <t>2 шт</t>
      </is>
    </oc>
    <nc r="D102" t="inlineStr">
      <is>
        <t xml:space="preserve">2 шт </t>
      </is>
    </nc>
  </rcc>
  <rcc rId="759" sId="1">
    <nc r="D120" t="inlineStr">
      <is>
        <t>53,65 м2</t>
      </is>
    </nc>
  </rcc>
  <rcc rId="760" sId="1">
    <nc r="D136" t="inlineStr">
      <is>
        <t>208,19 м2</t>
      </is>
    </nc>
  </rcc>
  <rcc rId="761" sId="1">
    <nc r="D142" t="inlineStr">
      <is>
        <t>58,1 м2</t>
      </is>
    </nc>
  </rcc>
  <rcc rId="762" sId="1">
    <nc r="D144" t="inlineStr">
      <is>
        <t>48,46 м2</t>
      </is>
    </nc>
  </rcc>
  <rcc rId="763" sId="1">
    <nc r="D146" t="inlineStr">
      <is>
        <t>32,18 м2</t>
      </is>
    </nc>
  </rcc>
  <rcc rId="764" sId="1">
    <nc r="D148" t="inlineStr">
      <is>
        <t>32,63 м2</t>
      </is>
    </nc>
  </rcc>
  <rcc rId="765" sId="1">
    <nc r="D150" t="inlineStr">
      <is>
        <t>30,94 м2</t>
      </is>
    </nc>
  </rcc>
  <rcc rId="766" sId="1">
    <nc r="D152" t="inlineStr">
      <is>
        <t>47,51 м2</t>
      </is>
    </nc>
  </rcc>
  <rcc rId="767" sId="1">
    <nc r="D154" t="inlineStr">
      <is>
        <t>51,92 м2</t>
      </is>
    </nc>
  </rcc>
  <rcc rId="768" sId="1">
    <nc r="D157" t="inlineStr">
      <is>
        <t>53,18 м2</t>
      </is>
    </nc>
  </rcc>
  <rcc rId="769" sId="1">
    <nc r="D158" t="inlineStr">
      <is>
        <t>51,71 м2</t>
      </is>
    </nc>
  </rcc>
  <rcc rId="770" sId="1">
    <nc r="D164" t="inlineStr">
      <is>
        <t>67,97 м2</t>
      </is>
    </nc>
  </rcc>
  <rcc rId="771" sId="1">
    <nc r="D165" t="inlineStr">
      <is>
        <t>42,96 м2</t>
      </is>
    </nc>
  </rcc>
  <rcc rId="772" sId="1">
    <nc r="D166" t="inlineStr">
      <is>
        <t>32,38 м2</t>
      </is>
    </nc>
  </rcc>
  <rcc rId="773" sId="1">
    <nc r="D167" t="inlineStr">
      <is>
        <t>46,49 м2</t>
      </is>
    </nc>
  </rcc>
  <rcc rId="774" sId="1">
    <nc r="D168" t="inlineStr">
      <is>
        <t>66,98 м2</t>
      </is>
    </nc>
  </rcc>
  <rcc rId="775" sId="1">
    <nc r="D169" t="inlineStr">
      <is>
        <t>52,85 м2</t>
      </is>
    </nc>
  </rcc>
  <rcc rId="776" sId="1">
    <nc r="D170" t="inlineStr">
      <is>
        <t>55,76 м2</t>
      </is>
    </nc>
  </rcc>
  <rcc rId="777" sId="1">
    <nc r="D172" t="inlineStr">
      <is>
        <t>52,62 м2</t>
      </is>
    </nc>
  </rcc>
  <rcc rId="778" sId="1">
    <nc r="D175" t="inlineStr">
      <is>
        <t>56,54 м2</t>
      </is>
    </nc>
  </rcc>
  <rcc rId="779" sId="1">
    <nc r="D176" t="inlineStr">
      <is>
        <t>56,91 м2</t>
      </is>
    </nc>
  </rcc>
  <rcc rId="780" sId="1">
    <nc r="D177" t="inlineStr">
      <is>
        <t>55,62 м2</t>
      </is>
    </nc>
  </rcc>
  <rcc rId="781" sId="1">
    <nc r="D178" t="inlineStr">
      <is>
        <t>56,58 м2</t>
      </is>
    </nc>
  </rcc>
  <rcc rId="782" sId="1">
    <oc r="D184" t="inlineStr">
      <is>
        <t>422,31 м2, 395 м2</t>
      </is>
    </oc>
    <nc r="D184" t="inlineStr">
      <is>
        <t xml:space="preserve"> 395 м2</t>
      </is>
    </nc>
  </rcc>
  <rfmt sheetId="1" sqref="D251" start="0" length="0">
    <dxf/>
  </rfmt>
  <rfmt sheetId="1" sqref="D252" start="0" length="0">
    <dxf/>
  </rfmt>
  <rfmt sheetId="1" sqref="D253" start="0" length="0">
    <dxf>
      <fill>
        <patternFill patternType="none">
          <bgColor indexed="65"/>
        </patternFill>
      </fill>
    </dxf>
  </rfmt>
  <rcc rId="783" sId="1" odxf="1" dxf="1">
    <nc r="D255" t="inlineStr">
      <is>
        <t>1 шт</t>
      </is>
    </nc>
    <odxf>
      <fill>
        <patternFill>
          <bgColor theme="9" tint="0.79998168889431442"/>
        </patternFill>
      </fill>
    </odxf>
    <ndxf>
      <fill>
        <patternFill>
          <bgColor rgb="FFFFFF00"/>
        </patternFill>
      </fill>
    </ndxf>
  </rcc>
  <rcc rId="784" sId="1">
    <nc r="D256" t="inlineStr">
      <is>
        <t>1 шт</t>
      </is>
    </nc>
  </rcc>
  <rfmt sheetId="1" sqref="D255">
    <dxf>
      <fill>
        <patternFill patternType="none">
          <bgColor auto="1"/>
        </patternFill>
      </fill>
    </dxf>
  </rfmt>
  <rcc rId="785" sId="1">
    <nc r="D260" t="inlineStr">
      <is>
        <t>_</t>
      </is>
    </nc>
  </rcc>
  <rcc rId="786" sId="1">
    <nc r="D261" t="inlineStr">
      <is>
        <t>_</t>
      </is>
    </nc>
  </rcc>
  <rcc rId="787" sId="1">
    <nc r="D262" t="inlineStr">
      <is>
        <t>_</t>
      </is>
    </nc>
  </rcc>
  <rfmt sheetId="1" sqref="F263">
    <dxf>
      <alignment horizontal="center" readingOrder="0"/>
    </dxf>
  </rfmt>
  <rfmt sheetId="1" sqref="A1:L267" start="0" length="2147483647">
    <dxf>
      <font>
        <name val="Times New Roman"/>
        <scheme val="none"/>
      </font>
    </dxf>
  </rfmt>
  <rfmt sheetId="1" sqref="E263:F263">
    <dxf>
      <numFmt numFmtId="4" formatCode="#,##0.00"/>
      <alignment horizontal="center" vertical="center" readingOrder="0"/>
    </dxf>
  </rfmt>
  <rfmt sheetId="1" sqref="G263" start="0" length="0">
    <dxf>
      <numFmt numFmtId="4" formatCode="#,##0.00"/>
      <alignment horizontal="center" vertical="center" readingOrder="0"/>
    </dxf>
  </rfmt>
  <rfmt sheetId="1" sqref="H263" start="0" length="0">
    <dxf>
      <numFmt numFmtId="4" formatCode="#,##0.00"/>
      <alignment horizontal="center" vertical="center" readingOrder="0"/>
    </dxf>
  </rfmt>
  <rfmt sheetId="1" sqref="I263" start="0" length="0">
    <dxf>
      <numFmt numFmtId="4" formatCode="#,##0.00"/>
      <alignment horizontal="center" vertical="center" readingOrder="0"/>
    </dxf>
  </rfmt>
  <rfmt sheetId="1" sqref="H263">
    <dxf>
      <numFmt numFmtId="3" formatCode="#,##0"/>
    </dxf>
  </rfmt>
  <rfmt sheetId="1" sqref="E263:I263">
    <dxf>
      <numFmt numFmtId="4" formatCode="#,##0.00"/>
    </dxf>
  </rfmt>
  <rfmt sheetId="1" sqref="A253:XFD255">
    <dxf>
      <fill>
        <patternFill patternType="none">
          <bgColor auto="1"/>
        </patternFill>
      </fill>
    </dxf>
  </rfmt>
  <rfmt sheetId="2" sqref="F266">
    <dxf>
      <numFmt numFmtId="4" formatCode="#,##0.00"/>
    </dxf>
  </rfmt>
  <rcc rId="788" sId="2" odxf="1" dxf="1">
    <nc r="G7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789" sId="2" odxf="1" dxf="1">
    <nc r="H7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790" sId="2" odxf="1" dxf="1">
    <nc r="G8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791" sId="2" odxf="1" dxf="1">
    <nc r="H8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792" sId="2" odxf="1" dxf="1">
    <nc r="G9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793" sId="2" odxf="1" dxf="1">
    <nc r="H9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794" sId="2" odxf="1" dxf="1">
    <nc r="G10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795" sId="2" odxf="1" dxf="1">
    <nc r="H10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796" sId="2" odxf="1" dxf="1">
    <nc r="G11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797" sId="2" odxf="1" dxf="1">
    <nc r="H11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798" sId="2" odxf="1" dxf="1">
    <nc r="G12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799" sId="2" odxf="1" dxf="1">
    <nc r="H12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00" sId="2" odxf="1" dxf="1">
    <nc r="G13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01" sId="2" odxf="1" dxf="1">
    <nc r="H13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02" sId="2" odxf="1" dxf="1">
    <nc r="G14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03" sId="2" odxf="1" dxf="1">
    <nc r="H14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04" sId="2" odxf="1" dxf="1">
    <nc r="G15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05" sId="2" odxf="1" dxf="1">
    <nc r="H15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06" sId="2" odxf="1" dxf="1">
    <nc r="G16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07" sId="2" odxf="1" dxf="1">
    <nc r="H16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08" sId="2" odxf="1" dxf="1">
    <nc r="G17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09" sId="2" odxf="1" dxf="1">
    <nc r="H17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10" sId="2" odxf="1" dxf="1">
    <nc r="G18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11" sId="2" odxf="1" dxf="1">
    <nc r="H18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12" sId="2" odxf="1" dxf="1">
    <nc r="G19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13" sId="2" odxf="1" dxf="1">
    <nc r="H19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14" sId="2" odxf="1" dxf="1">
    <nc r="G20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15" sId="2" odxf="1" dxf="1">
    <nc r="H20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16" sId="2" odxf="1" dxf="1">
    <nc r="G21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17" sId="2" odxf="1" dxf="1">
    <nc r="H21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18" sId="2" odxf="1" dxf="1">
    <nc r="G22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19" sId="2" odxf="1" dxf="1">
    <nc r="H22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20" sId="2" odxf="1" dxf="1">
    <nc r="G23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21" sId="2" odxf="1" dxf="1">
    <nc r="H23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22" sId="2" odxf="1" dxf="1">
    <nc r="G24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23" sId="2" odxf="1" dxf="1">
    <nc r="H24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24" sId="2" odxf="1" dxf="1">
    <nc r="G25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25" sId="2" odxf="1" dxf="1">
    <nc r="H25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26" sId="2" odxf="1" dxf="1">
    <nc r="G26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27" sId="2" odxf="1" dxf="1">
    <nc r="H26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28" sId="2" odxf="1" dxf="1">
    <nc r="G27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29" sId="2" odxf="1" dxf="1">
    <nc r="H27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30" sId="2" odxf="1" dxf="1">
    <nc r="G28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31" sId="2" odxf="1" dxf="1">
    <nc r="H28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32" sId="2" odxf="1" dxf="1">
    <nc r="G29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33" sId="2" odxf="1" dxf="1">
    <nc r="H29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34" sId="2" odxf="1" dxf="1">
    <nc r="G30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35" sId="2" odxf="1" dxf="1">
    <nc r="H30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36" sId="2" odxf="1" dxf="1">
    <nc r="G31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37" sId="2" odxf="1" dxf="1">
    <nc r="H31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38" sId="2" odxf="1" dxf="1">
    <nc r="G32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39" sId="2" odxf="1" dxf="1">
    <nc r="H32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40" sId="2" odxf="1" dxf="1">
    <nc r="G33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41" sId="2" odxf="1" dxf="1">
    <nc r="H33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42" sId="2" odxf="1" dxf="1">
    <nc r="G34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43" sId="2" odxf="1" dxf="1">
    <nc r="H34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44" sId="2" odxf="1" dxf="1">
    <nc r="G35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45" sId="2" odxf="1" dxf="1">
    <nc r="H35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46" sId="2" odxf="1" dxf="1">
    <nc r="G36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47" sId="2" odxf="1" dxf="1">
    <nc r="H36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48" sId="2" odxf="1" dxf="1">
    <nc r="G37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49" sId="2" odxf="1" dxf="1">
    <nc r="H37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50" sId="2" odxf="1" dxf="1">
    <nc r="G38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51" sId="2" odxf="1" dxf="1">
    <nc r="H38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52" sId="2" odxf="1" dxf="1">
    <nc r="G39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53" sId="2" odxf="1" dxf="1">
    <nc r="H39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54" sId="2" odxf="1" dxf="1">
    <nc r="G40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55" sId="2" odxf="1" dxf="1">
    <nc r="H40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56" sId="2" odxf="1" dxf="1">
    <nc r="G41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57" sId="2" odxf="1" dxf="1">
    <nc r="H41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58" sId="2" odxf="1" dxf="1">
    <nc r="G42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59" sId="2" odxf="1" dxf="1">
    <nc r="H42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60" sId="2" odxf="1" dxf="1">
    <nc r="G43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61" sId="2" odxf="1" dxf="1">
    <nc r="H43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62" sId="2" odxf="1" dxf="1">
    <nc r="G44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63" sId="2" odxf="1" dxf="1">
    <nc r="H44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64" sId="2" odxf="1" dxf="1">
    <nc r="G45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65" sId="2" odxf="1" dxf="1">
    <nc r="H45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66" sId="2" odxf="1" dxf="1">
    <nc r="G46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67" sId="2" odxf="1" dxf="1">
    <nc r="H46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68" sId="2" odxf="1" dxf="1">
    <nc r="G47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69" sId="2" odxf="1" dxf="1">
    <nc r="H47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70" sId="2" odxf="1" dxf="1">
    <nc r="G48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71" sId="2" odxf="1" dxf="1">
    <nc r="H48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72" sId="2" odxf="1" dxf="1">
    <nc r="G49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73" sId="2" odxf="1" dxf="1">
    <nc r="H49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74" sId="2" odxf="1" dxf="1">
    <nc r="G50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75" sId="2" odxf="1" dxf="1">
    <nc r="H50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76" sId="2" odxf="1" dxf="1">
    <nc r="G51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77" sId="2" odxf="1" dxf="1">
    <nc r="H51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78" sId="2" odxf="1" dxf="1">
    <nc r="G52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79" sId="2" odxf="1" dxf="1">
    <nc r="H52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80" sId="2" odxf="1" dxf="1">
    <nc r="G53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81" sId="2" odxf="1" dxf="1">
    <nc r="H53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82" sId="2" odxf="1" dxf="1">
    <nc r="G54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83" sId="2" odxf="1" dxf="1">
    <nc r="H54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84" sId="2" odxf="1" dxf="1">
    <nc r="G55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85" sId="2" odxf="1" dxf="1">
    <nc r="H55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86" sId="2" odxf="1" dxf="1">
    <nc r="G56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87" sId="2" odxf="1" dxf="1">
    <nc r="H56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88" sId="2" odxf="1" dxf="1">
    <nc r="G57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89" sId="2" odxf="1" dxf="1">
    <nc r="H57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90" sId="2" odxf="1" dxf="1">
    <nc r="G58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91" sId="2" odxf="1" dxf="1">
    <nc r="H58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92" sId="2" odxf="1" dxf="1">
    <nc r="G59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93" sId="2" odxf="1" dxf="1">
    <nc r="H59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94" sId="2" odxf="1" dxf="1">
    <nc r="G60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95" sId="2" odxf="1" dxf="1">
    <nc r="H60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96" sId="2" odxf="1" dxf="1">
    <nc r="G61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97" sId="2" odxf="1" dxf="1">
    <nc r="H61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98" sId="2" odxf="1" dxf="1">
    <nc r="G62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899" sId="2" odxf="1" dxf="1">
    <nc r="H62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00" sId="2" odxf="1" dxf="1">
    <nc r="G63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01" sId="2" odxf="1" dxf="1">
    <nc r="H63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02" sId="2" odxf="1" dxf="1">
    <nc r="G64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03" sId="2" odxf="1" dxf="1">
    <nc r="H64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04" sId="2" odxf="1" dxf="1">
    <nc r="G65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05" sId="2" odxf="1" dxf="1">
    <nc r="H65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06" sId="2" odxf="1" dxf="1">
    <nc r="G66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07" sId="2" odxf="1" dxf="1">
    <nc r="H66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08" sId="2" odxf="1" dxf="1">
    <nc r="G67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09" sId="2" odxf="1" dxf="1">
    <nc r="H67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10" sId="2" odxf="1" dxf="1">
    <nc r="G68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11" sId="2" odxf="1" dxf="1">
    <nc r="H68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12" sId="2" odxf="1" dxf="1">
    <nc r="G69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13" sId="2" odxf="1" dxf="1">
    <nc r="H69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14" sId="2" odxf="1" dxf="1">
    <nc r="G70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15" sId="2" odxf="1" dxf="1">
    <nc r="H70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16" sId="2" odxf="1" dxf="1">
    <nc r="G71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17" sId="2" odxf="1" dxf="1">
    <nc r="H71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18" sId="2" odxf="1" dxf="1">
    <nc r="G72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19" sId="2" odxf="1" dxf="1">
    <nc r="H72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20" sId="2" odxf="1" dxf="1">
    <nc r="G73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21" sId="2" odxf="1" dxf="1">
    <nc r="H73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22" sId="2" odxf="1" dxf="1">
    <nc r="G74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23" sId="2" odxf="1" dxf="1">
    <nc r="H74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24" sId="2" odxf="1" dxf="1">
    <nc r="G75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25" sId="2" odxf="1" dxf="1">
    <nc r="H75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26" sId="2" odxf="1" dxf="1">
    <nc r="G76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27" sId="2" odxf="1" dxf="1">
    <nc r="H76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28" sId="2" odxf="1" dxf="1">
    <nc r="G77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29" sId="2" odxf="1" dxf="1">
    <nc r="H77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30" sId="2" odxf="1" dxf="1">
    <nc r="G78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31" sId="2" odxf="1" dxf="1">
    <nc r="H78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32" sId="2" odxf="1" dxf="1">
    <nc r="G79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33" sId="2" odxf="1" dxf="1">
    <nc r="H79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34" sId="2" odxf="1" dxf="1">
    <nc r="G80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35" sId="2" odxf="1" dxf="1">
    <nc r="H80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36" sId="2" odxf="1" dxf="1">
    <nc r="G81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37" sId="2" odxf="1" dxf="1">
    <nc r="H81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38" sId="2" odxf="1" dxf="1">
    <nc r="G82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39" sId="2" odxf="1" dxf="1">
    <nc r="H82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40" sId="2" odxf="1" dxf="1">
    <nc r="G83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41" sId="2" odxf="1" dxf="1">
    <nc r="H83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42" sId="2" odxf="1" dxf="1">
    <nc r="G84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43" sId="2" odxf="1" dxf="1">
    <nc r="H84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44" sId="2" odxf="1" dxf="1">
    <nc r="G85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45" sId="2" odxf="1" dxf="1">
    <nc r="H85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46" sId="2" odxf="1" dxf="1">
    <nc r="G86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47" sId="2" odxf="1" dxf="1">
    <nc r="H86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48" sId="2" odxf="1" dxf="1">
    <nc r="G87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49" sId="2" odxf="1" dxf="1">
    <nc r="H87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50" sId="2" odxf="1" dxf="1">
    <nc r="G88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51" sId="2" odxf="1" dxf="1">
    <nc r="H88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52" sId="2" odxf="1" dxf="1">
    <nc r="G89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53" sId="2" odxf="1" dxf="1">
    <nc r="H89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54" sId="2" odxf="1" dxf="1">
    <nc r="G90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55" sId="2" odxf="1" dxf="1">
    <nc r="H90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56" sId="2" odxf="1" dxf="1">
    <nc r="G91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57" sId="2" odxf="1" dxf="1">
    <nc r="H91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58" sId="2" odxf="1" dxf="1">
    <nc r="G92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59" sId="2" odxf="1" dxf="1">
    <nc r="H92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60" sId="2" odxf="1" dxf="1">
    <nc r="G93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61" sId="2" odxf="1" dxf="1">
    <nc r="H93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62" sId="2" odxf="1" dxf="1">
    <nc r="G94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63" sId="2" odxf="1" dxf="1">
    <nc r="H94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64" sId="2" odxf="1" dxf="1">
    <nc r="G95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65" sId="2" odxf="1" dxf="1">
    <nc r="H95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66" sId="2" odxf="1" dxf="1">
    <nc r="G96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67" sId="2" odxf="1" dxf="1">
    <nc r="H96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68" sId="2" odxf="1" dxf="1">
    <nc r="G97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69" sId="2" odxf="1" dxf="1">
    <nc r="H97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70" sId="2" odxf="1" dxf="1">
    <nc r="G98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71" sId="2" odxf="1" dxf="1">
    <nc r="H98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72" sId="2" odxf="1" dxf="1">
    <nc r="G99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73" sId="2" odxf="1" dxf="1">
    <nc r="H99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74" sId="2" odxf="1" dxf="1">
    <nc r="G100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75" sId="2" odxf="1" dxf="1">
    <nc r="H100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76" sId="2" odxf="1" dxf="1">
    <nc r="G101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77" sId="2" odxf="1" dxf="1">
    <nc r="H101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78" sId="2" odxf="1" dxf="1">
    <nc r="G102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79" sId="2" odxf="1" dxf="1">
    <nc r="H102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80" sId="2" odxf="1" dxf="1">
    <nc r="G103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81" sId="2" odxf="1" dxf="1">
    <nc r="H103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82" sId="2" odxf="1" dxf="1">
    <nc r="G104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83" sId="2" odxf="1" dxf="1">
    <nc r="H104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84" sId="2" odxf="1" dxf="1">
    <nc r="G105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85" sId="2" odxf="1" dxf="1">
    <nc r="H105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86" sId="2" odxf="1" dxf="1">
    <nc r="G106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87" sId="2" odxf="1" dxf="1">
    <nc r="H106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88" sId="2" odxf="1" dxf="1">
    <nc r="G107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89" sId="2" odxf="1" dxf="1">
    <nc r="H107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90" sId="2" odxf="1" dxf="1">
    <nc r="G108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91" sId="2" odxf="1" dxf="1">
    <nc r="H108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92" sId="2" odxf="1" dxf="1">
    <nc r="G109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93" sId="2" odxf="1" dxf="1">
    <nc r="H109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94" sId="2" odxf="1" dxf="1">
    <nc r="G110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95" sId="2" odxf="1" dxf="1">
    <nc r="H110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96" sId="2" odxf="1" dxf="1">
    <nc r="G111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97" sId="2" odxf="1" dxf="1">
    <nc r="H111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98" sId="2" odxf="1" dxf="1">
    <nc r="G112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999" sId="2" odxf="1" dxf="1">
    <nc r="H112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00" sId="2" odxf="1" dxf="1">
    <nc r="G113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01" sId="2" odxf="1" dxf="1">
    <nc r="H113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02" sId="2" odxf="1" dxf="1">
    <nc r="G114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03" sId="2" odxf="1" dxf="1">
    <nc r="H114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04" sId="2" odxf="1" dxf="1">
    <nc r="G115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05" sId="2" odxf="1" dxf="1">
    <nc r="H115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06" sId="2" odxf="1" dxf="1">
    <nc r="G116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07" sId="2" odxf="1" dxf="1">
    <nc r="H116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08" sId="2" odxf="1" dxf="1">
    <nc r="G117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09" sId="2" odxf="1" dxf="1">
    <nc r="H117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10" sId="2" odxf="1" dxf="1">
    <nc r="G118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11" sId="2" odxf="1" dxf="1">
    <nc r="H118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12" sId="2" odxf="1" dxf="1">
    <nc r="G119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13" sId="2" odxf="1" dxf="1">
    <nc r="H119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14" sId="2" odxf="1" dxf="1">
    <nc r="G120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15" sId="2" odxf="1" dxf="1">
    <nc r="H120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16" sId="2" odxf="1" dxf="1">
    <nc r="G121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17" sId="2" odxf="1" dxf="1">
    <nc r="H121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18" sId="2" odxf="1" dxf="1">
    <nc r="G122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19" sId="2" odxf="1" dxf="1">
    <nc r="H122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20" sId="2" odxf="1" dxf="1">
    <nc r="G123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21" sId="2" odxf="1" dxf="1">
    <nc r="H123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22" sId="2" odxf="1" dxf="1">
    <nc r="G124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23" sId="2" odxf="1" dxf="1">
    <nc r="H124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24" sId="2" odxf="1" dxf="1">
    <nc r="G125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25" sId="2" odxf="1" dxf="1">
    <nc r="H125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26" sId="2" odxf="1" dxf="1">
    <nc r="G126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27" sId="2" odxf="1" dxf="1">
    <nc r="H126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28" sId="2" odxf="1" dxf="1">
    <nc r="G127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29" sId="2" odxf="1" dxf="1">
    <nc r="H127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30" sId="2" odxf="1" dxf="1">
    <nc r="G128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31" sId="2" odxf="1" dxf="1">
    <nc r="H128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32" sId="2" odxf="1" dxf="1">
    <nc r="G129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33" sId="2" odxf="1" dxf="1">
    <nc r="H129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34" sId="2" odxf="1" dxf="1">
    <nc r="G130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35" sId="2" odxf="1" dxf="1">
    <nc r="H130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36" sId="2" odxf="1" dxf="1">
    <nc r="G131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37" sId="2" odxf="1" dxf="1">
    <nc r="H131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38" sId="2" odxf="1" dxf="1">
    <nc r="G132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39" sId="2" odxf="1" dxf="1">
    <nc r="H132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40" sId="2" odxf="1" dxf="1">
    <nc r="G133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41" sId="2" odxf="1" dxf="1">
    <nc r="H133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42" sId="2" odxf="1" dxf="1">
    <nc r="G134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43" sId="2" odxf="1" dxf="1">
    <nc r="H134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44" sId="2" odxf="1" dxf="1">
    <nc r="G135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45" sId="2" odxf="1" dxf="1">
    <nc r="H135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46" sId="2" odxf="1" dxf="1">
    <nc r="G136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47" sId="2" odxf="1" dxf="1">
    <nc r="H136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48" sId="2" odxf="1" dxf="1">
    <nc r="G137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49" sId="2" odxf="1" dxf="1">
    <nc r="H137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50" sId="2" odxf="1" dxf="1">
    <nc r="G138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51" sId="2" odxf="1" dxf="1">
    <nc r="H138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52" sId="2" odxf="1" dxf="1">
    <nc r="G139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53" sId="2" odxf="1" dxf="1">
    <nc r="H139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54" sId="2" odxf="1" dxf="1">
    <nc r="G140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55" sId="2" odxf="1" dxf="1">
    <nc r="H140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56" sId="2" odxf="1" dxf="1">
    <nc r="G141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57" sId="2" odxf="1" dxf="1">
    <nc r="H141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58" sId="2" odxf="1" dxf="1">
    <nc r="G142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59" sId="2" odxf="1" dxf="1">
    <nc r="H142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60" sId="2" odxf="1" dxf="1">
    <nc r="G143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61" sId="2" odxf="1" dxf="1">
    <nc r="H143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62" sId="2" odxf="1" dxf="1">
    <nc r="G144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63" sId="2" odxf="1" dxf="1">
    <nc r="H144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64" sId="2" odxf="1" dxf="1">
    <nc r="G145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65" sId="2" odxf="1" dxf="1">
    <nc r="H145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66" sId="2" odxf="1" dxf="1">
    <nc r="G146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67" sId="2" odxf="1" dxf="1">
    <nc r="H146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68" sId="2" odxf="1" dxf="1">
    <nc r="G147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69" sId="2" odxf="1" dxf="1">
    <nc r="H147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70" sId="2" odxf="1" dxf="1">
    <nc r="G148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71" sId="2" odxf="1" dxf="1">
    <nc r="H148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72" sId="2" odxf="1" dxf="1">
    <nc r="G149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73" sId="2" odxf="1" dxf="1">
    <nc r="H149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74" sId="2" odxf="1" dxf="1">
    <nc r="G150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75" sId="2" odxf="1" dxf="1">
    <nc r="H150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76" sId="2" odxf="1" dxf="1">
    <nc r="G151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77" sId="2" odxf="1" dxf="1">
    <nc r="H151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78" sId="2" odxf="1" dxf="1">
    <nc r="G152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79" sId="2" odxf="1" dxf="1">
    <nc r="H152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80" sId="2" odxf="1" dxf="1">
    <nc r="G153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81" sId="2" odxf="1" dxf="1">
    <nc r="H153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82" sId="2" odxf="1" dxf="1">
    <nc r="G154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83" sId="2" odxf="1" dxf="1">
    <nc r="H154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84" sId="2" odxf="1" dxf="1">
    <nc r="G155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85" sId="2" odxf="1" dxf="1">
    <nc r="H155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86" sId="2" odxf="1" dxf="1">
    <nc r="G156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87" sId="2" odxf="1" dxf="1">
    <nc r="H156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88" sId="2" odxf="1" dxf="1">
    <nc r="G157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89" sId="2" odxf="1" dxf="1">
    <nc r="H157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90" sId="2" odxf="1" dxf="1">
    <nc r="G158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91" sId="2" odxf="1" dxf="1">
    <nc r="H158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92" sId="2" odxf="1" dxf="1">
    <nc r="G159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93" sId="2" odxf="1" dxf="1">
    <nc r="H159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94" sId="2" odxf="1" dxf="1">
    <nc r="G160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95" sId="2" odxf="1" dxf="1">
    <nc r="H160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96" sId="2" odxf="1" dxf="1">
    <nc r="G161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97" sId="2" odxf="1" dxf="1">
    <nc r="H161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98" sId="2" odxf="1" dxf="1">
    <nc r="G162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099" sId="2" odxf="1" dxf="1">
    <nc r="H162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00" sId="2" odxf="1" dxf="1">
    <nc r="G163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01" sId="2" odxf="1" dxf="1">
    <nc r="H163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02" sId="2" odxf="1" dxf="1">
    <nc r="G164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03" sId="2" odxf="1" dxf="1">
    <nc r="H164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04" sId="2" odxf="1" dxf="1">
    <nc r="G165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05" sId="2" odxf="1" dxf="1">
    <nc r="H165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06" sId="2" odxf="1" dxf="1">
    <nc r="G166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07" sId="2" odxf="1" dxf="1">
    <nc r="H166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08" sId="2" odxf="1" dxf="1">
    <nc r="G167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09" sId="2" odxf="1" dxf="1">
    <nc r="H167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10" sId="2" odxf="1" dxf="1">
    <nc r="G168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11" sId="2" odxf="1" dxf="1">
    <nc r="H168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12" sId="2" odxf="1" dxf="1">
    <nc r="G169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13" sId="2" odxf="1" dxf="1">
    <nc r="H169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14" sId="2" odxf="1" dxf="1">
    <nc r="G170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15" sId="2" odxf="1" dxf="1">
    <nc r="H170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16" sId="2" odxf="1" dxf="1">
    <nc r="G171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17" sId="2" odxf="1" dxf="1">
    <nc r="H171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18" sId="2" odxf="1" dxf="1">
    <nc r="G172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19" sId="2" odxf="1" dxf="1">
    <nc r="H172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20" sId="2" odxf="1" dxf="1">
    <nc r="G173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21" sId="2" odxf="1" dxf="1">
    <nc r="H173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22" sId="2" odxf="1" dxf="1">
    <nc r="G174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23" sId="2" odxf="1" dxf="1">
    <nc r="H174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24" sId="2" odxf="1" dxf="1">
    <nc r="G175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25" sId="2" odxf="1" dxf="1">
    <nc r="H175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26" sId="2" odxf="1" dxf="1">
    <nc r="G176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27" sId="2" odxf="1" dxf="1">
    <nc r="H176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28" sId="2" odxf="1" dxf="1">
    <nc r="G177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29" sId="2" odxf="1" dxf="1">
    <nc r="H177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30" sId="2" odxf="1" dxf="1">
    <nc r="G178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31" sId="2" odxf="1" dxf="1">
    <nc r="H178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32" sId="2" odxf="1" dxf="1">
    <nc r="G179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33" sId="2" odxf="1" dxf="1">
    <nc r="H179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34" sId="2" odxf="1" dxf="1">
    <nc r="G180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35" sId="2" odxf="1" dxf="1">
    <nc r="H180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36" sId="2" odxf="1" dxf="1">
    <nc r="G181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37" sId="2" odxf="1" dxf="1">
    <nc r="H181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38" sId="2" odxf="1" dxf="1">
    <nc r="G182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39" sId="2" odxf="1" dxf="1">
    <nc r="H182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40" sId="2" odxf="1" dxf="1">
    <nc r="G183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41" sId="2" odxf="1" dxf="1">
    <nc r="H183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42" sId="2" odxf="1" dxf="1">
    <nc r="G184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43" sId="2" odxf="1" dxf="1">
    <nc r="H184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44" sId="2" odxf="1" dxf="1">
    <nc r="G185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45" sId="2" odxf="1" dxf="1">
    <nc r="H185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46" sId="2" odxf="1" dxf="1">
    <nc r="G186" t="inlineStr">
      <is>
        <t>-</t>
      </is>
    </nc>
    <odxf>
      <fill>
        <patternFill patternType="solid">
          <bgColor theme="9" tint="0.59999389629810485"/>
        </patternFill>
      </fill>
      <alignment horizontal="general" vertical="bottom" readingOrder="0"/>
    </odxf>
    <ndxf>
      <fill>
        <patternFill patternType="none">
          <bgColor indexed="65"/>
        </patternFill>
      </fill>
      <alignment horizontal="center" vertical="top" readingOrder="0"/>
    </ndxf>
  </rcc>
  <rcc rId="1147" sId="2" odxf="1" dxf="1">
    <nc r="H186" t="inlineStr">
      <is>
        <t>-</t>
      </is>
    </nc>
    <odxf>
      <fill>
        <patternFill patternType="solid">
          <bgColor theme="9" tint="0.59999389629810485"/>
        </patternFill>
      </fill>
      <alignment horizontal="general" vertical="bottom" readingOrder="0"/>
    </odxf>
    <ndxf>
      <fill>
        <patternFill patternType="none">
          <bgColor indexed="65"/>
        </patternFill>
      </fill>
      <alignment horizontal="center" vertical="top" readingOrder="0"/>
    </ndxf>
  </rcc>
  <rcc rId="1148" sId="2" odxf="1" dxf="1">
    <nc r="G187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49" sId="2" odxf="1" dxf="1">
    <nc r="H187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50" sId="2" odxf="1" dxf="1">
    <nc r="G188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51" sId="2" odxf="1" dxf="1">
    <nc r="H188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52" sId="2" odxf="1" dxf="1">
    <nc r="G189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53" sId="2" odxf="1" dxf="1">
    <nc r="H189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54" sId="2" odxf="1" dxf="1">
    <nc r="G190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55" sId="2" odxf="1" dxf="1">
    <nc r="H190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56" sId="2" odxf="1" dxf="1">
    <nc r="G191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57" sId="2" odxf="1" dxf="1">
    <nc r="H191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58" sId="2" odxf="1" dxf="1">
    <nc r="G192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59" sId="2" odxf="1" dxf="1">
    <nc r="H192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60" sId="2" odxf="1" dxf="1">
    <nc r="G193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61" sId="2" odxf="1" dxf="1">
    <nc r="H193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62" sId="2" odxf="1" dxf="1">
    <nc r="G194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63" sId="2" odxf="1" dxf="1">
    <nc r="H194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64" sId="2" odxf="1" dxf="1">
    <nc r="G195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65" sId="2" odxf="1" dxf="1">
    <nc r="H195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66" sId="2" odxf="1" dxf="1">
    <nc r="G196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67" sId="2" odxf="1" dxf="1">
    <nc r="H196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68" sId="2" odxf="1" dxf="1">
    <nc r="G197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69" sId="2" odxf="1" dxf="1">
    <nc r="H197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70" sId="2" odxf="1" dxf="1">
    <nc r="G198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71" sId="2" odxf="1" dxf="1">
    <nc r="H198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72" sId="2" odxf="1" dxf="1">
    <nc r="G199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73" sId="2" odxf="1" dxf="1">
    <nc r="H199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74" sId="2" odxf="1" dxf="1">
    <nc r="G200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75" sId="2" odxf="1" dxf="1">
    <nc r="H200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76" sId="2" odxf="1" dxf="1">
    <nc r="G201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77" sId="2" odxf="1" dxf="1">
    <nc r="H201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78" sId="2" odxf="1" dxf="1">
    <nc r="G202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79" sId="2" odxf="1" dxf="1">
    <nc r="H202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80" sId="2" odxf="1" dxf="1">
    <nc r="G203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81" sId="2" odxf="1" dxf="1">
    <nc r="H203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82" sId="2" odxf="1" dxf="1">
    <nc r="G204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83" sId="2" odxf="1" dxf="1">
    <nc r="H204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84" sId="2" odxf="1" dxf="1">
    <nc r="G205" t="inlineStr">
      <is>
        <t>-</t>
      </is>
    </nc>
    <odxf>
      <font>
        <sz val="12"/>
      </font>
      <alignment horizontal="general" vertical="bottom" readingOrder="0"/>
      <border outline="0">
        <left/>
        <right/>
        <top/>
        <bottom/>
      </border>
    </odxf>
    <ndxf>
      <font>
        <sz val="10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5" sId="2" odxf="1" dxf="1">
    <nc r="H205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86" sId="2" odxf="1" dxf="1">
    <nc r="G206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87" sId="2" odxf="1" dxf="1">
    <nc r="H206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88" sId="2" odxf="1" dxf="1">
    <nc r="G207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89" sId="2" odxf="1" dxf="1">
    <nc r="H207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90" sId="2" odxf="1" dxf="1">
    <nc r="G208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91" sId="2" odxf="1" dxf="1">
    <nc r="H208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92" sId="2" odxf="1" dxf="1">
    <nc r="G209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93" sId="2" odxf="1" dxf="1">
    <nc r="H209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94" sId="2" odxf="1" dxf="1">
    <nc r="G210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95" sId="2" odxf="1" dxf="1">
    <nc r="H210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96" sId="2" odxf="1" dxf="1">
    <nc r="G211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97" sId="2" odxf="1" dxf="1">
    <nc r="H211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98" sId="2" odxf="1" dxf="1">
    <nc r="G212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199" sId="2" odxf="1" dxf="1">
    <nc r="H212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00" sId="2" odxf="1" dxf="1">
    <nc r="G213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01" sId="2" odxf="1" dxf="1">
    <nc r="H213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02" sId="2" odxf="1" dxf="1">
    <nc r="G214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03" sId="2" odxf="1" dxf="1">
    <nc r="H214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04" sId="2" odxf="1" dxf="1">
    <nc r="G215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05" sId="2" odxf="1" dxf="1">
    <nc r="H215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06" sId="2" odxf="1" dxf="1">
    <nc r="G216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07" sId="2" odxf="1" dxf="1">
    <nc r="H216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08" sId="2" odxf="1" dxf="1">
    <nc r="G217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09" sId="2" odxf="1" dxf="1">
    <nc r="H217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10" sId="2" odxf="1" dxf="1">
    <nc r="G218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11" sId="2" odxf="1" dxf="1">
    <nc r="H218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12" sId="2" odxf="1" dxf="1">
    <nc r="G219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13" sId="2" odxf="1" dxf="1">
    <nc r="H219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14" sId="2" odxf="1" dxf="1">
    <nc r="G220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15" sId="2" odxf="1" dxf="1">
    <nc r="H220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16" sId="2" odxf="1" dxf="1">
    <nc r="G221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17" sId="2" odxf="1" dxf="1">
    <nc r="H221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18" sId="2" odxf="1" dxf="1">
    <nc r="G222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19" sId="2" odxf="1" dxf="1">
    <nc r="H222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20" sId="2" odxf="1" dxf="1">
    <nc r="G223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21" sId="2" odxf="1" dxf="1">
    <nc r="H223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22" sId="2" odxf="1" dxf="1">
    <nc r="G224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23" sId="2" odxf="1" dxf="1">
    <nc r="H224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24" sId="2" odxf="1" dxf="1">
    <nc r="G225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25" sId="2" odxf="1" dxf="1">
    <nc r="H225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26" sId="2" odxf="1" dxf="1">
    <nc r="G226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27" sId="2" odxf="1" dxf="1">
    <nc r="H226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28" sId="2" odxf="1" dxf="1">
    <nc r="G227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29" sId="2" odxf="1" dxf="1">
    <nc r="H227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30" sId="2" odxf="1" dxf="1">
    <nc r="G228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31" sId="2" odxf="1" dxf="1">
    <nc r="H228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32" sId="2" odxf="1" dxf="1">
    <nc r="G229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33" sId="2" odxf="1" dxf="1">
    <nc r="H229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34" sId="2" odxf="1" dxf="1">
    <nc r="G230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35" sId="2" odxf="1" dxf="1">
    <nc r="H230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36" sId="2" odxf="1" dxf="1">
    <nc r="G231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37" sId="2" odxf="1" dxf="1">
    <nc r="H231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38" sId="2" odxf="1" dxf="1">
    <nc r="G232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39" sId="2" odxf="1" dxf="1">
    <nc r="H232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40" sId="2" odxf="1" dxf="1">
    <nc r="G233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41" sId="2" odxf="1" dxf="1">
    <nc r="H233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42" sId="2" odxf="1" dxf="1">
    <nc r="G234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43" sId="2" odxf="1" dxf="1">
    <nc r="H234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44" sId="2" odxf="1" dxf="1">
    <nc r="G235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45" sId="2" odxf="1" dxf="1">
    <nc r="H235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46" sId="2" odxf="1" dxf="1">
    <nc r="G236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47" sId="2" odxf="1" dxf="1">
    <nc r="H236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48" sId="2" odxf="1" dxf="1">
    <nc r="G237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49" sId="2" odxf="1" dxf="1">
    <nc r="H237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50" sId="2" odxf="1" dxf="1">
    <nc r="G238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51" sId="2" odxf="1" dxf="1">
    <nc r="H238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52" sId="2" odxf="1" dxf="1">
    <nc r="G239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53" sId="2" odxf="1" dxf="1">
    <nc r="H239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54" sId="2" odxf="1" dxf="1">
    <nc r="G240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55" sId="2" odxf="1" dxf="1">
    <nc r="H240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56" sId="2" odxf="1" dxf="1">
    <nc r="G241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57" sId="2" odxf="1" dxf="1">
    <nc r="H241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58" sId="2" odxf="1" dxf="1">
    <nc r="G242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59" sId="2" odxf="1" dxf="1">
    <nc r="H242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60" sId="2" odxf="1" dxf="1">
    <nc r="G243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61" sId="2" odxf="1" dxf="1">
    <nc r="H243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62" sId="2" odxf="1" dxf="1">
    <nc r="G244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63" sId="2" odxf="1" dxf="1">
    <nc r="H244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64" sId="2" odxf="1" dxf="1">
    <nc r="G245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65" sId="2" odxf="1" dxf="1">
    <nc r="H245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66" sId="2" odxf="1" dxf="1">
    <nc r="G246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67" sId="2" odxf="1" dxf="1">
    <nc r="H246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68" sId="2" odxf="1" dxf="1">
    <nc r="G247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69" sId="2" odxf="1" dxf="1">
    <nc r="H247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70" sId="2" odxf="1" dxf="1">
    <nc r="G248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71" sId="2" odxf="1" dxf="1">
    <nc r="H248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72" sId="2" odxf="1" dxf="1">
    <nc r="G249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73" sId="2" odxf="1" dxf="1">
    <nc r="H249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74" sId="2" odxf="1" dxf="1">
    <nc r="G250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75" sId="2" odxf="1" dxf="1">
    <nc r="H250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76" sId="2" odxf="1" dxf="1">
    <nc r="G251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77" sId="2" odxf="1" dxf="1">
    <nc r="H251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78" sId="2" odxf="1" dxf="1">
    <nc r="G252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79" sId="2" odxf="1" dxf="1">
    <nc r="H252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80" sId="2" odxf="1" dxf="1">
    <nc r="G253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81" sId="2" odxf="1" dxf="1">
    <nc r="H253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82" sId="2" odxf="1" dxf="1">
    <nc r="G254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83" sId="2" odxf="1" dxf="1">
    <nc r="H254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84" sId="2" odxf="1" dxf="1">
    <nc r="G255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85" sId="2" odxf="1" dxf="1">
    <nc r="H255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86" sId="2" odxf="1" dxf="1">
    <nc r="G256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87" sId="2" odxf="1" dxf="1">
    <nc r="H256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88" sId="2" odxf="1" dxf="1">
    <nc r="G257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89" sId="2" odxf="1" dxf="1">
    <nc r="H257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90" sId="2" odxf="1" dxf="1">
    <nc r="G258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91" sId="2" odxf="1" dxf="1">
    <nc r="H258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92" sId="2" odxf="1" dxf="1">
    <nc r="G259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93" sId="2" odxf="1" dxf="1">
    <nc r="H259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94" sId="2" odxf="1" dxf="1">
    <nc r="G260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95" sId="2" odxf="1" dxf="1">
    <nc r="H260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96" sId="2" odxf="1" dxf="1">
    <nc r="G261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97" sId="2" odxf="1" dxf="1">
    <nc r="H261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98" sId="2" odxf="1" dxf="1">
    <nc r="G262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299" sId="2" odxf="1" dxf="1">
    <nc r="H262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300" sId="2" odxf="1" dxf="1">
    <nc r="G263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301" sId="2" odxf="1" dxf="1">
    <nc r="H263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302" sId="2" odxf="1" dxf="1">
    <nc r="G264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303" sId="2" odxf="1" dxf="1">
    <nc r="H264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304" sId="2" odxf="1" dxf="1">
    <nc r="G265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305" sId="2" odxf="1" dxf="1">
    <nc r="H265" t="inlineStr">
      <is>
        <t>-</t>
      </is>
    </nc>
    <odxf>
      <alignment horizontal="general" vertical="bottom" readingOrder="0"/>
    </odxf>
    <ndxf>
      <alignment horizontal="center" vertical="top" readingOrder="0"/>
    </ndxf>
  </rcc>
  <rcc rId="1306" sId="2" odxf="1" dxf="1">
    <nc r="G266" t="inlineStr">
      <is>
        <t>-</t>
      </is>
    </nc>
    <odxf>
      <font>
        <sz val="12"/>
      </font>
      <alignment horizontal="general" vertical="bottom" readingOrder="0"/>
    </odxf>
    <ndxf>
      <font>
        <sz val="10"/>
      </font>
      <alignment horizontal="center" vertical="top" readingOrder="0"/>
    </ndxf>
  </rcc>
  <rcc rId="1307" sId="2" odxf="1" dxf="1">
    <nc r="H266" t="inlineStr">
      <is>
        <t>-</t>
      </is>
    </nc>
    <odxf>
      <font>
        <sz val="12"/>
      </font>
      <alignment horizontal="general" vertical="bottom" readingOrder="0"/>
    </odxf>
    <ndxf>
      <font>
        <sz val="10"/>
      </font>
      <alignment horizontal="center" vertical="top" readingOrder="0"/>
    </ndxf>
  </rcc>
  <rcv guid="{32804526-0746-47BD-964F-D9E07D890F54}" action="add"/>
</revisions>
</file>

<file path=xl/revisions/revisionLog123111.xml><?xml version="1.0" encoding="utf-8"?>
<revisions xmlns="http://schemas.openxmlformats.org/spreadsheetml/2006/main" xmlns:r="http://schemas.openxmlformats.org/officeDocument/2006/relationships">
  <rcc rId="68" sId="1">
    <nc r="G80">
      <f>0.244047*1000</f>
    </nc>
  </rcc>
  <rcc rId="69" sId="1">
    <nc r="I80">
      <f>0.120564*1000</f>
    </nc>
  </rcc>
  <rcc rId="70" sId="2" odxf="1" dxf="1">
    <nc r="F80">
      <f>0.244047*1000</f>
    </nc>
    <odxf>
      <alignment horizontal="general" vertical="bottom" readingOrder="0"/>
    </odxf>
    <ndxf>
      <alignment horizontal="right" vertical="top" readingOrder="0"/>
    </ndxf>
  </rcc>
  <rcc rId="71" sId="2">
    <nc r="E80" t="inlineStr">
      <is>
        <t>5-46/16 от 30.11.2016</t>
      </is>
    </nc>
  </rcc>
</revisions>
</file>

<file path=xl/revisions/revisionLog124.xml><?xml version="1.0" encoding="utf-8"?>
<revisions xmlns="http://schemas.openxmlformats.org/spreadsheetml/2006/main" xmlns:r="http://schemas.openxmlformats.org/officeDocument/2006/relationships">
  <rcv guid="{586B0D0F-AFD5-489E-A810-F5CDD42644EC}" action="delete"/>
  <rcv guid="{586B0D0F-AFD5-489E-A810-F5CDD42644EC}" action="add"/>
</revisions>
</file>

<file path=xl/revisions/revisionLog1241.xml><?xml version="1.0" encoding="utf-8"?>
<revisions xmlns="http://schemas.openxmlformats.org/spreadsheetml/2006/main" xmlns:r="http://schemas.openxmlformats.org/officeDocument/2006/relationships">
  <rcc rId="699" sId="1">
    <nc r="G237">
      <f>0.148733*1000</f>
    </nc>
  </rcc>
  <rcc rId="700" sId="1">
    <nc r="I237">
      <f>0.040915*1000</f>
    </nc>
  </rcc>
  <rcc rId="701" sId="2" odxf="1" dxf="1">
    <nc r="F240">
      <f>0.148733*1000</f>
    </nc>
    <odxf>
      <alignment horizontal="general" vertical="bottom" readingOrder="0"/>
    </odxf>
    <ndxf>
      <alignment horizontal="right" vertical="top" readingOrder="0"/>
    </ndxf>
  </rcc>
  <rcc rId="702" sId="2">
    <nc r="E240" t="inlineStr">
      <is>
        <t>344-ТМ/16 от 23.12.2016</t>
      </is>
    </nc>
  </rcc>
  <rcc rId="703" sId="3">
    <nc r="E239" t="inlineStr">
      <is>
        <t>344-ТМ/16 от 23.12.2016</t>
      </is>
    </nc>
  </rcc>
  <rcc rId="704" sId="3" odxf="1" dxf="1">
    <nc r="F239">
      <f>0.148733*1000</f>
    </nc>
    <odxf>
      <alignment horizontal="general" vertical="bottom" readingOrder="0"/>
    </odxf>
    <ndxf>
      <alignment horizontal="right" vertical="top" readingOrder="0"/>
    </ndxf>
  </rcc>
  <rcc rId="705" sId="1">
    <nc r="I239">
      <f>0.040915*1000</f>
    </nc>
  </rcc>
  <rcc rId="706" sId="1">
    <nc r="G239">
      <f>0.148733*1000</f>
    </nc>
  </rcc>
  <rcc rId="707" sId="2" odxf="1" dxf="1">
    <nc r="F242">
      <f>0.148733*1000</f>
    </nc>
    <odxf>
      <alignment horizontal="general" vertical="bottom" readingOrder="0"/>
    </odxf>
    <ndxf>
      <alignment horizontal="right" vertical="top" readingOrder="0"/>
    </ndxf>
  </rcc>
  <rcc rId="708" sId="2">
    <nc r="E242" t="inlineStr">
      <is>
        <t>346-ТМ/16 от 23.12.2016</t>
      </is>
    </nc>
  </rcc>
  <rcc rId="709" sId="3">
    <nc r="E241" t="inlineStr">
      <is>
        <t>346-ТМ/16 от 23.12.2016</t>
      </is>
    </nc>
  </rcc>
  <rcc rId="710" sId="3" odxf="1" dxf="1">
    <nc r="F241">
      <f>0.148733*1000</f>
    </nc>
    <odxf>
      <alignment horizontal="general" vertical="bottom" readingOrder="0"/>
    </odxf>
    <ndxf>
      <alignment horizontal="right" vertical="top" readingOrder="0"/>
    </ndxf>
  </rcc>
  <rcv guid="{586B0D0F-AFD5-489E-A810-F5CDD42644EC}" action="delete"/>
  <rcv guid="{586B0D0F-AFD5-489E-A810-F5CDD42644EC}" action="add"/>
</revisions>
</file>

<file path=xl/revisions/revisionLog12411.xml><?xml version="1.0" encoding="utf-8"?>
<revisions xmlns="http://schemas.openxmlformats.org/spreadsheetml/2006/main" xmlns:r="http://schemas.openxmlformats.org/officeDocument/2006/relationships">
  <rcc rId="1314" sId="1">
    <nc r="F263">
      <f>SUM(F7:F262)</f>
    </nc>
  </rcc>
  <rcc rId="1315" sId="1">
    <nc r="G263">
      <f>SUM(G7:G262)</f>
    </nc>
  </rcc>
  <rcc rId="1316" sId="1">
    <nc r="H263">
      <f>SUM(H7:H262)</f>
    </nc>
  </rcc>
  <rcc rId="1317" sId="1">
    <nc r="I263">
      <f>SUM(I7:I262)</f>
    </nc>
  </rcc>
  <rcc rId="1318" sId="1">
    <oc r="E263">
      <f>SUM(E7:E262)</f>
    </oc>
    <nc r="E263">
      <f>SUM(E7:E262)</f>
    </nc>
  </rcc>
</revisions>
</file>

<file path=xl/revisions/revisionLog125.xml><?xml version="1.0" encoding="utf-8"?>
<revisions xmlns="http://schemas.openxmlformats.org/spreadsheetml/2006/main" xmlns:r="http://schemas.openxmlformats.org/officeDocument/2006/relationships">
  <rcc rId="1810" sId="1">
    <oc r="D267" t="inlineStr">
      <is>
        <t>(Ф.И.О.)</t>
      </is>
    </oc>
    <nc r="D267"/>
  </rcc>
  <rcc rId="1811" sId="1">
    <oc r="C267" t="inlineStr">
      <is>
        <t>(подпись)</t>
      </is>
    </oc>
    <nc r="C267" t="inlineStr">
      <is>
        <t>(подпись) по доверенности №007/17 от 01.01.2017</t>
      </is>
    </nc>
  </rcc>
  <rcv guid="{586B0D0F-AFD5-489E-A810-F5CDD42644EC}" action="delete"/>
  <rcv guid="{586B0D0F-AFD5-489E-A810-F5CDD42644EC}" action="add"/>
</revisions>
</file>

<file path=xl/revisions/revisionLog1251.xml><?xml version="1.0" encoding="utf-8"?>
<revisions xmlns="http://schemas.openxmlformats.org/spreadsheetml/2006/main" xmlns:r="http://schemas.openxmlformats.org/officeDocument/2006/relationships">
  <rfmt sheetId="1" sqref="G45">
    <dxf>
      <fill>
        <patternFill patternType="solid">
          <bgColor rgb="FFFFFF00"/>
        </patternFill>
      </fill>
    </dxf>
  </rfmt>
  <rfmt sheetId="1" sqref="G54">
    <dxf>
      <fill>
        <patternFill patternType="solid">
          <bgColor rgb="FFFFFF00"/>
        </patternFill>
      </fill>
    </dxf>
  </rfmt>
  <rfmt sheetId="1" sqref="G64">
    <dxf>
      <fill>
        <patternFill patternType="solid">
          <bgColor rgb="FFFFFF00"/>
        </patternFill>
      </fill>
    </dxf>
  </rfmt>
  <rfmt sheetId="1" sqref="G84">
    <dxf>
      <fill>
        <patternFill patternType="solid">
          <bgColor rgb="FFFFFF00"/>
        </patternFill>
      </fill>
    </dxf>
  </rfmt>
  <rfmt sheetId="1" sqref="G103">
    <dxf>
      <fill>
        <patternFill patternType="solid">
          <bgColor rgb="FFFFFF00"/>
        </patternFill>
      </fill>
    </dxf>
  </rfmt>
  <rfmt sheetId="1" sqref="G114">
    <dxf>
      <fill>
        <patternFill patternType="solid">
          <bgColor rgb="FFFFFF00"/>
        </patternFill>
      </fill>
    </dxf>
  </rfmt>
  <rfmt sheetId="1" sqref="G183">
    <dxf>
      <fill>
        <patternFill patternType="solid">
          <bgColor rgb="FFFFFF00"/>
        </patternFill>
      </fill>
    </dxf>
  </rfmt>
  <rfmt sheetId="1" sqref="G248">
    <dxf>
      <fill>
        <patternFill patternType="solid">
          <bgColor rgb="FFFFFF00"/>
        </patternFill>
      </fill>
    </dxf>
  </rfmt>
  <rcc rId="1791" sId="1">
    <oc r="G45">
      <f>0.061696*1000</f>
    </oc>
    <nc r="G45">
      <f>0.062681*1000</f>
    </nc>
  </rcc>
  <rfmt sheetId="1" sqref="G45">
    <dxf>
      <fill>
        <patternFill>
          <bgColor theme="0"/>
        </patternFill>
      </fill>
    </dxf>
  </rfmt>
  <rcc rId="1792" sId="2">
    <oc r="F54">
      <f>0.250251*1000</f>
    </oc>
    <nc r="F54">
      <f>0.173159*1000</f>
    </nc>
  </rcc>
  <rcc rId="1793" sId="3">
    <oc r="F54">
      <f>0.250251*1000</f>
    </oc>
    <nc r="F54">
      <f>0.173159*1000</f>
    </nc>
  </rcc>
  <rcv guid="{586B0D0F-AFD5-489E-A810-F5CDD42644EC}" action="delete"/>
  <rcv guid="{586B0D0F-AFD5-489E-A810-F5CDD42644EC}" action="add"/>
</revisions>
</file>

<file path=xl/revisions/revisionLog126.xml><?xml version="1.0" encoding="utf-8"?>
<revisions xmlns="http://schemas.openxmlformats.org/spreadsheetml/2006/main" xmlns:r="http://schemas.openxmlformats.org/officeDocument/2006/relationships">
  <rcv guid="{586B0D0F-AFD5-489E-A810-F5CDD42644EC}" action="delete"/>
  <rcv guid="{586B0D0F-AFD5-489E-A810-F5CDD42644EC}" action="add"/>
</revisions>
</file>

<file path=xl/revisions/revisionLog1261.xml><?xml version="1.0" encoding="utf-8"?>
<revisions xmlns="http://schemas.openxmlformats.org/spreadsheetml/2006/main" xmlns:r="http://schemas.openxmlformats.org/officeDocument/2006/relationships">
  <rfmt sheetId="3" sqref="B7:F264" start="0" length="2147483647">
    <dxf>
      <font>
        <b/>
      </font>
    </dxf>
  </rfmt>
  <rfmt sheetId="3" sqref="B7:F264" start="0" length="2147483647">
    <dxf>
      <font>
        <b val="0"/>
      </font>
    </dxf>
  </rfmt>
  <rcc rId="1815" sId="3">
    <nc r="F265">
      <f>SUM(F7:F264)</f>
    </nc>
  </rcc>
  <rfmt sheetId="3" sqref="F255">
    <dxf>
      <fill>
        <patternFill>
          <bgColor theme="0"/>
        </patternFill>
      </fill>
    </dxf>
  </rfmt>
  <rrc rId="1816" sId="3" ref="E1:E1048576" action="insertCol"/>
  <rcv guid="{586B0D0F-AFD5-489E-A810-F5CDD42644EC}" action="delete"/>
  <rcv guid="{586B0D0F-AFD5-489E-A810-F5CDD42644EC}" action="add"/>
</revisions>
</file>

<file path=xl/revisions/revisionLog12611.xml><?xml version="1.0" encoding="utf-8"?>
<revisions xmlns="http://schemas.openxmlformats.org/spreadsheetml/2006/main" xmlns:r="http://schemas.openxmlformats.org/officeDocument/2006/relationships">
  <rcc rId="1573" sId="3">
    <oc r="C100" t="inlineStr">
      <is>
        <t>Счет-фактура №</t>
      </is>
    </oc>
    <nc r="C100" t="inlineStr">
      <is>
        <t>Счет-фактура №736</t>
      </is>
    </nc>
  </rcc>
  <rcc rId="1574" sId="3">
    <nc r="D100">
      <v>8</v>
    </nc>
  </rcc>
  <rcc rId="1575" sId="3">
    <nc r="C120" t="inlineStr">
      <is>
        <t>Счет-фактура №756</t>
      </is>
    </nc>
  </rcc>
  <rcc rId="1576" sId="3">
    <nc r="D120">
      <v>8</v>
    </nc>
  </rcc>
  <rcc rId="1577" sId="3">
    <oc r="C136" t="inlineStr">
      <is>
        <t xml:space="preserve">Счет-фактура № </t>
      </is>
    </oc>
    <nc r="C136" t="inlineStr">
      <is>
        <t>Счет-фактура №766</t>
      </is>
    </nc>
  </rcc>
  <rcc rId="1578" sId="3">
    <nc r="D136">
      <v>9</v>
    </nc>
  </rcc>
  <rcc rId="1579" sId="3">
    <oc r="C141" t="inlineStr">
      <is>
        <t>Счет-фактура №</t>
      </is>
    </oc>
    <nc r="C141" t="inlineStr">
      <is>
        <t>Счет-фактура №767</t>
      </is>
    </nc>
  </rcc>
  <rcc rId="1580" sId="3">
    <nc r="D141">
      <v>4</v>
    </nc>
  </rcc>
  <rcc rId="1581" sId="3">
    <oc r="C142" t="inlineStr">
      <is>
        <t>Счет-фактура №</t>
      </is>
    </oc>
    <nc r="C142" t="inlineStr">
      <is>
        <t>Счет-фактура №768</t>
      </is>
    </nc>
  </rcc>
  <rcc rId="1582" sId="3">
    <nc r="D142">
      <v>9</v>
    </nc>
  </rcc>
  <rcc rId="1583" sId="3">
    <oc r="C143" t="inlineStr">
      <is>
        <t>Счет-фактура №</t>
      </is>
    </oc>
    <nc r="C143" t="inlineStr">
      <is>
        <t>Счет-фактура №769</t>
      </is>
    </nc>
  </rcc>
  <rcc rId="1584" sId="3">
    <nc r="D143">
      <v>4</v>
    </nc>
  </rcc>
  <rcc rId="1585" sId="3">
    <oc r="C144" t="inlineStr">
      <is>
        <t>Счет-фактура №</t>
      </is>
    </oc>
    <nc r="C144" t="inlineStr">
      <is>
        <t>Счет-фактура №770</t>
      </is>
    </nc>
  </rcc>
  <rcc rId="1586" sId="3">
    <nc r="D144">
      <v>8</v>
    </nc>
  </rcc>
  <rcc rId="1587" sId="3">
    <oc r="C145" t="inlineStr">
      <is>
        <t>Счет-фактура №</t>
      </is>
    </oc>
    <nc r="C145" t="inlineStr">
      <is>
        <t>Счет-фактура №771</t>
      </is>
    </nc>
  </rcc>
  <rcc rId="1588" sId="3">
    <nc r="D145">
      <v>5</v>
    </nc>
  </rcc>
</revisions>
</file>

<file path=xl/revisions/revisionLog127.xml><?xml version="1.0" encoding="utf-8"?>
<revisions xmlns="http://schemas.openxmlformats.org/spreadsheetml/2006/main" xmlns:r="http://schemas.openxmlformats.org/officeDocument/2006/relationships">
  <rcv guid="{586B0D0F-AFD5-489E-A810-F5CDD42644EC}" action="delete"/>
  <rcv guid="{586B0D0F-AFD5-489E-A810-F5CDD42644EC}" action="add"/>
</revisions>
</file>

<file path=xl/revisions/revisionLog128.xml><?xml version="1.0" encoding="utf-8"?>
<revisions xmlns="http://schemas.openxmlformats.org/spreadsheetml/2006/main" xmlns:r="http://schemas.openxmlformats.org/officeDocument/2006/relationships">
  <rcc rId="1812" sId="1">
    <oc r="C267" t="inlineStr">
      <is>
        <t>(подпись) по доверенности №007/17 от 01.01.2017</t>
      </is>
    </oc>
    <nc r="C267" t="inlineStr">
      <is>
        <t xml:space="preserve">(подпись) </t>
      </is>
    </nc>
  </rcc>
  <rcc rId="1813" sId="1">
    <nc r="D267" t="inlineStr">
      <is>
        <t xml:space="preserve">                         по доверенности №007/17 от 01.01.2017</t>
      </is>
    </nc>
  </rcc>
  <rfmt sheetId="1" sqref="D267">
    <dxf>
      <alignment horizontal="center" readingOrder="0"/>
    </dxf>
  </rfmt>
  <rcv guid="{586B0D0F-AFD5-489E-A810-F5CDD42644EC}" action="delete"/>
  <rcv guid="{586B0D0F-AFD5-489E-A810-F5CDD42644EC}" action="add"/>
</revisions>
</file>

<file path=xl/revisions/revisionLog13.xml><?xml version="1.0" encoding="utf-8"?>
<revisions xmlns="http://schemas.openxmlformats.org/spreadsheetml/2006/main" xmlns:r="http://schemas.openxmlformats.org/officeDocument/2006/relationships">
  <rcv guid="{586B0D0F-AFD5-489E-A810-F5CDD42644EC}" action="delete"/>
  <rcv guid="{586B0D0F-AFD5-489E-A810-F5CDD42644EC}" action="add"/>
</revisions>
</file>

<file path=xl/revisions/revisionLog131.xml><?xml version="1.0" encoding="utf-8"?>
<revisions xmlns="http://schemas.openxmlformats.org/spreadsheetml/2006/main" xmlns:r="http://schemas.openxmlformats.org/officeDocument/2006/relationships">
  <rfmt sheetId="1" sqref="D7" start="0" length="0">
    <dxf>
      <font>
        <sz val="10"/>
        <name val="Times New Roman"/>
        <scheme val="minor"/>
      </font>
    </dxf>
  </rfmt>
  <rfmt sheetId="1" sqref="D8" start="0" length="0">
    <dxf>
      <font>
        <sz val="10"/>
        <name val="Times New Roman"/>
        <scheme val="minor"/>
      </font>
    </dxf>
  </rfmt>
  <rfmt sheetId="1" sqref="D9" start="0" length="0">
    <dxf>
      <font>
        <sz val="10"/>
        <name val="Times New Roman"/>
        <scheme val="minor"/>
      </font>
    </dxf>
  </rfmt>
  <rfmt sheetId="1" sqref="D10" start="0" length="0">
    <dxf>
      <font>
        <sz val="10"/>
        <name val="Times New Roman"/>
        <scheme val="minor"/>
      </font>
    </dxf>
  </rfmt>
  <rfmt sheetId="1" sqref="D11" start="0" length="0">
    <dxf>
      <font>
        <sz val="10"/>
        <name val="Times New Roman"/>
        <scheme val="minor"/>
      </font>
    </dxf>
  </rfmt>
  <rfmt sheetId="1" sqref="D12" start="0" length="0">
    <dxf>
      <font>
        <sz val="10"/>
        <name val="Times New Roman"/>
        <scheme val="minor"/>
      </font>
    </dxf>
  </rfmt>
  <rfmt sheetId="1" sqref="D13" start="0" length="0">
    <dxf>
      <font>
        <sz val="10"/>
        <name val="Times New Roman"/>
        <scheme val="minor"/>
      </font>
    </dxf>
  </rfmt>
  <rfmt sheetId="1" sqref="D14" start="0" length="0">
    <dxf>
      <font>
        <sz val="10"/>
        <name val="Times New Roman"/>
        <scheme val="minor"/>
      </font>
    </dxf>
  </rfmt>
  <rfmt sheetId="1" sqref="D15" start="0" length="0">
    <dxf>
      <font>
        <sz val="10"/>
        <name val="Times New Roman"/>
        <scheme val="minor"/>
      </font>
    </dxf>
  </rfmt>
  <rfmt sheetId="1" sqref="D16" start="0" length="0">
    <dxf>
      <font>
        <sz val="10"/>
        <name val="Times New Roman"/>
        <scheme val="minor"/>
      </font>
    </dxf>
  </rfmt>
  <rfmt sheetId="1" sqref="D17" start="0" length="0">
    <dxf>
      <font>
        <sz val="10"/>
        <name val="Times New Roman"/>
        <scheme val="minor"/>
      </font>
    </dxf>
  </rfmt>
  <rfmt sheetId="1" sqref="D18" start="0" length="0">
    <dxf>
      <font>
        <sz val="10"/>
        <name val="Times New Roman"/>
        <scheme val="minor"/>
      </font>
    </dxf>
  </rfmt>
  <rfmt sheetId="1" sqref="D19" start="0" length="0">
    <dxf>
      <font>
        <sz val="10"/>
        <name val="Times New Roman"/>
        <scheme val="minor"/>
      </font>
    </dxf>
  </rfmt>
  <rfmt sheetId="1" sqref="D20" start="0" length="0">
    <dxf>
      <font>
        <sz val="10"/>
        <name val="Times New Roman"/>
        <scheme val="minor"/>
      </font>
    </dxf>
  </rfmt>
  <rfmt sheetId="1" sqref="D21" start="0" length="0">
    <dxf>
      <font>
        <sz val="10"/>
        <name val="Times New Roman"/>
        <scheme val="minor"/>
      </font>
    </dxf>
  </rfmt>
  <rfmt sheetId="1" sqref="D22" start="0" length="0">
    <dxf>
      <font>
        <sz val="10"/>
        <name val="Times New Roman"/>
        <scheme val="minor"/>
      </font>
    </dxf>
  </rfmt>
  <rfmt sheetId="1" sqref="D23" start="0" length="0">
    <dxf>
      <font>
        <sz val="10"/>
        <name val="Times New Roman"/>
        <scheme val="minor"/>
      </font>
    </dxf>
  </rfmt>
  <rfmt sheetId="1" sqref="D24" start="0" length="0">
    <dxf>
      <font>
        <sz val="10"/>
        <name val="Times New Roman"/>
        <scheme val="minor"/>
      </font>
    </dxf>
  </rfmt>
  <rfmt sheetId="1" sqref="D25" start="0" length="0">
    <dxf>
      <font>
        <sz val="10"/>
        <name val="Times New Roman"/>
        <scheme val="minor"/>
      </font>
    </dxf>
  </rfmt>
  <rfmt sheetId="1" sqref="D26" start="0" length="0">
    <dxf>
      <font>
        <sz val="10"/>
        <name val="Times New Roman"/>
        <scheme val="minor"/>
      </font>
    </dxf>
  </rfmt>
  <rfmt sheetId="1" sqref="D27" start="0" length="0">
    <dxf>
      <font>
        <sz val="10"/>
        <name val="Times New Roman"/>
        <scheme val="minor"/>
      </font>
    </dxf>
  </rfmt>
  <rfmt sheetId="1" sqref="D28" start="0" length="0">
    <dxf>
      <font>
        <sz val="10"/>
        <name val="Times New Roman"/>
        <scheme val="minor"/>
      </font>
    </dxf>
  </rfmt>
  <rfmt sheetId="1" sqref="D29" start="0" length="0">
    <dxf>
      <font>
        <sz val="10"/>
        <name val="Times New Roman"/>
        <scheme val="minor"/>
      </font>
    </dxf>
  </rfmt>
  <rfmt sheetId="1" sqref="D30" start="0" length="0">
    <dxf>
      <font>
        <sz val="10"/>
        <name val="Times New Roman"/>
        <scheme val="minor"/>
      </font>
    </dxf>
  </rfmt>
  <rfmt sheetId="1" sqref="D31" start="0" length="0">
    <dxf>
      <font>
        <sz val="10"/>
        <name val="Times New Roman"/>
        <scheme val="minor"/>
      </font>
    </dxf>
  </rfmt>
  <rfmt sheetId="1" sqref="D32" start="0" length="0">
    <dxf>
      <font>
        <sz val="10"/>
        <name val="Times New Roman"/>
        <scheme val="minor"/>
      </font>
    </dxf>
  </rfmt>
  <rfmt sheetId="1" sqref="D33" start="0" length="0">
    <dxf>
      <font>
        <sz val="10"/>
        <name val="Times New Roman"/>
        <scheme val="minor"/>
      </font>
    </dxf>
  </rfmt>
  <rfmt sheetId="1" sqref="D34" start="0" length="0">
    <dxf>
      <font>
        <sz val="10"/>
        <name val="Times New Roman"/>
        <scheme val="minor"/>
      </font>
    </dxf>
  </rfmt>
  <rfmt sheetId="1" sqref="D35" start="0" length="0">
    <dxf>
      <font>
        <sz val="10"/>
        <name val="Times New Roman"/>
        <scheme val="minor"/>
      </font>
    </dxf>
  </rfmt>
  <rfmt sheetId="1" sqref="D36" start="0" length="0">
    <dxf>
      <font>
        <sz val="10"/>
        <name val="Times New Roman"/>
        <scheme val="minor"/>
      </font>
    </dxf>
  </rfmt>
  <rfmt sheetId="1" sqref="D37" start="0" length="0">
    <dxf>
      <font>
        <sz val="10"/>
        <name val="Times New Roman"/>
        <scheme val="minor"/>
      </font>
    </dxf>
  </rfmt>
  <rfmt sheetId="1" sqref="D38" start="0" length="0">
    <dxf>
      <font>
        <sz val="10"/>
        <name val="Times New Roman"/>
        <scheme val="minor"/>
      </font>
    </dxf>
  </rfmt>
  <rfmt sheetId="1" sqref="D39" start="0" length="0">
    <dxf>
      <font>
        <sz val="10"/>
        <name val="Times New Roman"/>
        <scheme val="minor"/>
      </font>
    </dxf>
  </rfmt>
  <rfmt sheetId="1" sqref="D40" start="0" length="0">
    <dxf>
      <font>
        <sz val="10"/>
        <name val="Times New Roman"/>
        <scheme val="minor"/>
      </font>
    </dxf>
  </rfmt>
  <rfmt sheetId="1" sqref="D41" start="0" length="0">
    <dxf>
      <font>
        <sz val="10"/>
        <name val="Times New Roman"/>
        <scheme val="minor"/>
      </font>
    </dxf>
  </rfmt>
  <rfmt sheetId="1" sqref="D42" start="0" length="0">
    <dxf>
      <font>
        <sz val="10"/>
        <name val="Times New Roman"/>
        <scheme val="minor"/>
      </font>
    </dxf>
  </rfmt>
  <rfmt sheetId="1" sqref="D43" start="0" length="0">
    <dxf>
      <font>
        <sz val="10"/>
        <name val="Times New Roman"/>
        <scheme val="minor"/>
      </font>
    </dxf>
  </rfmt>
  <rfmt sheetId="1" sqref="D44" start="0" length="0">
    <dxf>
      <font>
        <sz val="10"/>
        <name val="Times New Roman"/>
        <scheme val="minor"/>
      </font>
    </dxf>
  </rfmt>
  <rfmt sheetId="1" sqref="D45" start="0" length="0">
    <dxf>
      <font>
        <sz val="10"/>
        <name val="Times New Roman"/>
        <scheme val="minor"/>
      </font>
    </dxf>
  </rfmt>
  <rfmt sheetId="1" sqref="D46" start="0" length="0">
    <dxf>
      <font>
        <sz val="10"/>
        <name val="Times New Roman"/>
        <scheme val="minor"/>
      </font>
    </dxf>
  </rfmt>
  <rfmt sheetId="1" sqref="D47" start="0" length="0">
    <dxf>
      <font>
        <sz val="10"/>
        <name val="Times New Roman"/>
        <scheme val="minor"/>
      </font>
    </dxf>
  </rfmt>
  <rfmt sheetId="1" sqref="D48" start="0" length="0">
    <dxf>
      <font>
        <sz val="10"/>
        <name val="Times New Roman"/>
        <scheme val="minor"/>
      </font>
    </dxf>
  </rfmt>
  <rfmt sheetId="1" sqref="D49" start="0" length="0">
    <dxf>
      <font>
        <sz val="10"/>
        <name val="Times New Roman"/>
        <scheme val="minor"/>
      </font>
    </dxf>
  </rfmt>
  <rfmt sheetId="1" sqref="D50" start="0" length="0">
    <dxf>
      <font>
        <sz val="10"/>
        <name val="Times New Roman"/>
        <scheme val="minor"/>
      </font>
    </dxf>
  </rfmt>
  <rfmt sheetId="1" sqref="D51" start="0" length="0">
    <dxf>
      <font>
        <sz val="10"/>
        <name val="Times New Roman"/>
        <scheme val="minor"/>
      </font>
    </dxf>
  </rfmt>
  <rfmt sheetId="1" sqref="D52" start="0" length="0">
    <dxf>
      <font>
        <sz val="10"/>
        <name val="Times New Roman"/>
        <scheme val="minor"/>
      </font>
    </dxf>
  </rfmt>
  <rfmt sheetId="1" sqref="D53" start="0" length="0">
    <dxf>
      <font>
        <sz val="10"/>
        <name val="Times New Roman"/>
        <scheme val="minor"/>
      </font>
    </dxf>
  </rfmt>
  <rfmt sheetId="1" sqref="D54" start="0" length="0">
    <dxf>
      <font>
        <sz val="10"/>
        <name val="Times New Roman"/>
        <scheme val="minor"/>
      </font>
    </dxf>
  </rfmt>
  <rfmt sheetId="1" sqref="D55" start="0" length="0">
    <dxf>
      <font>
        <sz val="10"/>
        <name val="Times New Roman"/>
        <scheme val="minor"/>
      </font>
    </dxf>
  </rfmt>
  <rfmt sheetId="1" sqref="D56" start="0" length="0">
    <dxf>
      <font>
        <sz val="10"/>
        <name val="Times New Roman"/>
        <scheme val="minor"/>
      </font>
    </dxf>
  </rfmt>
  <rfmt sheetId="1" sqref="D57" start="0" length="0">
    <dxf>
      <font>
        <sz val="10"/>
        <name val="Times New Roman"/>
        <scheme val="minor"/>
      </font>
    </dxf>
  </rfmt>
  <rfmt sheetId="1" sqref="D58" start="0" length="0">
    <dxf>
      <font>
        <sz val="10"/>
        <name val="Times New Roman"/>
        <scheme val="minor"/>
      </font>
    </dxf>
  </rfmt>
  <rfmt sheetId="1" sqref="D59" start="0" length="0">
    <dxf>
      <font>
        <sz val="10"/>
        <name val="Times New Roman"/>
        <scheme val="minor"/>
      </font>
    </dxf>
  </rfmt>
  <rfmt sheetId="1" sqref="D60" start="0" length="0">
    <dxf>
      <font>
        <sz val="10"/>
        <name val="Times New Roman"/>
        <scheme val="minor"/>
      </font>
    </dxf>
  </rfmt>
  <rfmt sheetId="1" sqref="D61" start="0" length="0">
    <dxf>
      <font>
        <sz val="10"/>
        <name val="Times New Roman"/>
        <scheme val="minor"/>
      </font>
    </dxf>
  </rfmt>
  <rfmt sheetId="1" sqref="D62" start="0" length="0">
    <dxf>
      <font>
        <sz val="10"/>
        <name val="Times New Roman"/>
        <scheme val="minor"/>
      </font>
    </dxf>
  </rfmt>
  <rfmt sheetId="1" sqref="D63" start="0" length="0">
    <dxf>
      <font>
        <sz val="10"/>
        <name val="Times New Roman"/>
        <scheme val="minor"/>
      </font>
    </dxf>
  </rfmt>
  <rfmt sheetId="1" sqref="D64" start="0" length="0">
    <dxf>
      <font>
        <sz val="10"/>
        <name val="Times New Roman"/>
        <scheme val="minor"/>
      </font>
    </dxf>
  </rfmt>
  <rfmt sheetId="1" sqref="D65" start="0" length="0">
    <dxf>
      <font>
        <sz val="10"/>
        <name val="Times New Roman"/>
        <scheme val="minor"/>
      </font>
    </dxf>
  </rfmt>
  <rfmt sheetId="1" sqref="D66" start="0" length="0">
    <dxf>
      <font>
        <sz val="10"/>
        <name val="Times New Roman"/>
        <scheme val="minor"/>
      </font>
    </dxf>
  </rfmt>
  <rfmt sheetId="1" sqref="D67" start="0" length="0">
    <dxf>
      <font>
        <sz val="10"/>
        <name val="Times New Roman"/>
        <scheme val="minor"/>
      </font>
    </dxf>
  </rfmt>
  <rfmt sheetId="1" sqref="D68" start="0" length="0">
    <dxf>
      <font>
        <sz val="10"/>
        <name val="Times New Roman"/>
        <scheme val="minor"/>
      </font>
    </dxf>
  </rfmt>
  <rfmt sheetId="1" sqref="D69" start="0" length="0">
    <dxf>
      <font>
        <sz val="10"/>
        <name val="Times New Roman"/>
        <scheme val="minor"/>
      </font>
    </dxf>
  </rfmt>
  <rfmt sheetId="1" sqref="D70" start="0" length="0">
    <dxf>
      <font>
        <sz val="10"/>
        <name val="Times New Roman"/>
        <scheme val="minor"/>
      </font>
    </dxf>
  </rfmt>
  <rfmt sheetId="1" sqref="D71" start="0" length="0">
    <dxf>
      <font>
        <sz val="10"/>
        <name val="Times New Roman"/>
        <scheme val="minor"/>
      </font>
    </dxf>
  </rfmt>
  <rfmt sheetId="1" sqref="D72" start="0" length="0">
    <dxf>
      <font>
        <sz val="10"/>
        <name val="Times New Roman"/>
        <scheme val="minor"/>
      </font>
    </dxf>
  </rfmt>
  <rfmt sheetId="1" sqref="D73" start="0" length="0">
    <dxf>
      <font>
        <sz val="10"/>
        <name val="Times New Roman"/>
        <scheme val="minor"/>
      </font>
    </dxf>
  </rfmt>
  <rfmt sheetId="1" sqref="D74" start="0" length="0">
    <dxf>
      <font>
        <sz val="10"/>
        <name val="Times New Roman"/>
        <scheme val="minor"/>
      </font>
    </dxf>
  </rfmt>
  <rfmt sheetId="1" sqref="D75" start="0" length="0">
    <dxf>
      <font>
        <sz val="10"/>
        <name val="Times New Roman"/>
        <scheme val="minor"/>
      </font>
    </dxf>
  </rfmt>
  <rfmt sheetId="1" sqref="D76" start="0" length="0">
    <dxf>
      <font>
        <sz val="10"/>
        <name val="Times New Roman"/>
        <scheme val="minor"/>
      </font>
    </dxf>
  </rfmt>
  <rfmt sheetId="1" sqref="D77" start="0" length="0">
    <dxf>
      <font>
        <sz val="10"/>
        <name val="Times New Roman"/>
        <scheme val="minor"/>
      </font>
    </dxf>
  </rfmt>
  <rfmt sheetId="1" sqref="D78" start="0" length="0">
    <dxf>
      <font>
        <sz val="10"/>
        <name val="Times New Roman"/>
        <scheme val="minor"/>
      </font>
    </dxf>
  </rfmt>
  <rfmt sheetId="1" sqref="D79" start="0" length="0">
    <dxf>
      <font>
        <sz val="10"/>
        <name val="Times New Roman"/>
        <scheme val="minor"/>
      </font>
    </dxf>
  </rfmt>
  <rfmt sheetId="1" sqref="D80" start="0" length="0">
    <dxf>
      <font>
        <sz val="10"/>
        <name val="Times New Roman"/>
        <scheme val="minor"/>
      </font>
    </dxf>
  </rfmt>
  <rfmt sheetId="1" sqref="D81" start="0" length="0">
    <dxf>
      <font>
        <sz val="10"/>
        <name val="Times New Roman"/>
        <scheme val="minor"/>
      </font>
    </dxf>
  </rfmt>
  <rfmt sheetId="1" sqref="D82" start="0" length="0">
    <dxf>
      <font>
        <sz val="10"/>
        <name val="Times New Roman"/>
        <scheme val="minor"/>
      </font>
    </dxf>
  </rfmt>
  <rfmt sheetId="1" sqref="D83" start="0" length="0">
    <dxf>
      <font>
        <sz val="10"/>
        <name val="Times New Roman"/>
        <scheme val="minor"/>
      </font>
    </dxf>
  </rfmt>
  <rfmt sheetId="1" sqref="D84" start="0" length="0">
    <dxf>
      <font>
        <sz val="10"/>
        <name val="Times New Roman"/>
        <scheme val="minor"/>
      </font>
    </dxf>
  </rfmt>
  <rfmt sheetId="1" sqref="D85" start="0" length="0">
    <dxf>
      <font>
        <sz val="10"/>
        <name val="Times New Roman"/>
        <scheme val="minor"/>
      </font>
    </dxf>
  </rfmt>
  <rfmt sheetId="1" sqref="D86" start="0" length="0">
    <dxf>
      <font>
        <sz val="10"/>
        <name val="Times New Roman"/>
        <scheme val="minor"/>
      </font>
    </dxf>
  </rfmt>
  <rfmt sheetId="1" sqref="D87" start="0" length="0">
    <dxf>
      <font>
        <sz val="10"/>
        <name val="Times New Roman"/>
        <scheme val="minor"/>
      </font>
    </dxf>
  </rfmt>
  <rfmt sheetId="1" sqref="D88" start="0" length="0">
    <dxf>
      <font>
        <sz val="10"/>
        <name val="Times New Roman"/>
        <scheme val="minor"/>
      </font>
    </dxf>
  </rfmt>
  <rfmt sheetId="1" sqref="D89" start="0" length="0">
    <dxf>
      <font>
        <sz val="10"/>
        <name val="Times New Roman"/>
        <scheme val="minor"/>
      </font>
    </dxf>
  </rfmt>
  <rfmt sheetId="1" sqref="D90" start="0" length="0">
    <dxf>
      <font>
        <sz val="10"/>
        <name val="Times New Roman"/>
        <scheme val="minor"/>
      </font>
    </dxf>
  </rfmt>
  <rfmt sheetId="1" sqref="D91" start="0" length="0">
    <dxf>
      <font>
        <sz val="10"/>
        <name val="Times New Roman"/>
        <scheme val="minor"/>
      </font>
    </dxf>
  </rfmt>
  <rfmt sheetId="1" sqref="D92" start="0" length="0">
    <dxf>
      <font>
        <sz val="10"/>
        <name val="Times New Roman"/>
        <scheme val="minor"/>
      </font>
    </dxf>
  </rfmt>
  <rfmt sheetId="1" sqref="D93" start="0" length="0">
    <dxf>
      <font>
        <sz val="10"/>
        <name val="Times New Roman"/>
        <scheme val="minor"/>
      </font>
    </dxf>
  </rfmt>
  <rfmt sheetId="1" sqref="D94" start="0" length="0">
    <dxf>
      <font>
        <sz val="10"/>
        <name val="Times New Roman"/>
        <scheme val="minor"/>
      </font>
    </dxf>
  </rfmt>
  <rfmt sheetId="1" sqref="D95" start="0" length="0">
    <dxf>
      <font>
        <sz val="10"/>
        <name val="Times New Roman"/>
        <scheme val="minor"/>
      </font>
    </dxf>
  </rfmt>
  <rfmt sheetId="1" sqref="D96" start="0" length="0">
    <dxf>
      <font>
        <sz val="10"/>
        <name val="Times New Roman"/>
        <scheme val="minor"/>
      </font>
    </dxf>
  </rfmt>
  <rfmt sheetId="1" sqref="D97" start="0" length="0">
    <dxf>
      <font>
        <sz val="10"/>
        <name val="Times New Roman"/>
        <scheme val="minor"/>
      </font>
    </dxf>
  </rfmt>
  <rfmt sheetId="1" sqref="D98" start="0" length="0">
    <dxf>
      <font>
        <sz val="10"/>
        <name val="Times New Roman"/>
        <scheme val="minor"/>
      </font>
    </dxf>
  </rfmt>
  <rfmt sheetId="1" sqref="D99" start="0" length="0">
    <dxf>
      <font>
        <sz val="10"/>
        <name val="Times New Roman"/>
        <scheme val="minor"/>
      </font>
    </dxf>
  </rfmt>
  <rfmt sheetId="1" sqref="D100" start="0" length="0">
    <dxf>
      <font>
        <sz val="10"/>
        <name val="Times New Roman"/>
        <scheme val="minor"/>
      </font>
    </dxf>
  </rfmt>
  <rfmt sheetId="1" sqref="D101" start="0" length="0">
    <dxf>
      <font>
        <sz val="10"/>
        <name val="Times New Roman"/>
        <scheme val="minor"/>
      </font>
    </dxf>
  </rfmt>
  <rfmt sheetId="1" sqref="D102" start="0" length="0">
    <dxf>
      <font>
        <sz val="10"/>
        <name val="Times New Roman"/>
        <scheme val="minor"/>
      </font>
    </dxf>
  </rfmt>
  <rfmt sheetId="1" sqref="D103" start="0" length="0">
    <dxf>
      <font>
        <sz val="10"/>
        <name val="Times New Roman"/>
        <scheme val="minor"/>
      </font>
    </dxf>
  </rfmt>
  <rfmt sheetId="1" sqref="D104" start="0" length="0">
    <dxf>
      <font>
        <sz val="10"/>
        <name val="Times New Roman"/>
        <scheme val="minor"/>
      </font>
    </dxf>
  </rfmt>
  <rfmt sheetId="1" sqref="D105" start="0" length="0">
    <dxf>
      <font>
        <sz val="10"/>
        <name val="Times New Roman"/>
        <scheme val="minor"/>
      </font>
    </dxf>
  </rfmt>
  <rfmt sheetId="1" sqref="D106" start="0" length="0">
    <dxf>
      <font>
        <sz val="10"/>
        <name val="Times New Roman"/>
        <scheme val="minor"/>
      </font>
    </dxf>
  </rfmt>
  <rfmt sheetId="1" sqref="D107" start="0" length="0">
    <dxf>
      <font>
        <sz val="10"/>
        <name val="Times New Roman"/>
        <scheme val="minor"/>
      </font>
    </dxf>
  </rfmt>
  <rfmt sheetId="1" sqref="D108" start="0" length="0">
    <dxf>
      <font>
        <sz val="10"/>
        <name val="Times New Roman"/>
        <scheme val="minor"/>
      </font>
    </dxf>
  </rfmt>
  <rfmt sheetId="1" sqref="D109" start="0" length="0">
    <dxf>
      <font>
        <sz val="10"/>
        <name val="Times New Roman"/>
        <scheme val="minor"/>
      </font>
    </dxf>
  </rfmt>
  <rfmt sheetId="1" sqref="D110" start="0" length="0">
    <dxf>
      <font>
        <sz val="10"/>
        <name val="Times New Roman"/>
        <scheme val="minor"/>
      </font>
    </dxf>
  </rfmt>
  <rfmt sheetId="1" sqref="D111" start="0" length="0">
    <dxf>
      <font>
        <sz val="10"/>
        <name val="Times New Roman"/>
        <scheme val="minor"/>
      </font>
    </dxf>
  </rfmt>
  <rfmt sheetId="1" sqref="D112" start="0" length="0">
    <dxf>
      <font>
        <sz val="10"/>
        <name val="Times New Roman"/>
        <scheme val="minor"/>
      </font>
    </dxf>
  </rfmt>
  <rfmt sheetId="1" sqref="D113" start="0" length="0">
    <dxf>
      <font>
        <sz val="10"/>
        <name val="Times New Roman"/>
        <scheme val="minor"/>
      </font>
    </dxf>
  </rfmt>
  <rfmt sheetId="1" sqref="D114" start="0" length="0">
    <dxf>
      <font>
        <sz val="10"/>
        <name val="Times New Roman"/>
        <scheme val="minor"/>
      </font>
    </dxf>
  </rfmt>
  <rfmt sheetId="1" sqref="D115" start="0" length="0">
    <dxf>
      <font>
        <sz val="10"/>
        <name val="Times New Roman"/>
        <scheme val="minor"/>
      </font>
    </dxf>
  </rfmt>
  <rfmt sheetId="1" sqref="D116" start="0" length="0">
    <dxf>
      <font>
        <sz val="10"/>
        <name val="Times New Roman"/>
        <scheme val="minor"/>
      </font>
    </dxf>
  </rfmt>
  <rfmt sheetId="1" sqref="D117" start="0" length="0">
    <dxf>
      <font>
        <sz val="10"/>
        <name val="Times New Roman"/>
        <scheme val="minor"/>
      </font>
    </dxf>
  </rfmt>
  <rfmt sheetId="1" sqref="D118" start="0" length="0">
    <dxf>
      <font>
        <sz val="10"/>
        <name val="Times New Roman"/>
        <scheme val="minor"/>
      </font>
    </dxf>
  </rfmt>
  <rfmt sheetId="1" sqref="D119" start="0" length="0">
    <dxf>
      <font>
        <sz val="10"/>
        <name val="Times New Roman"/>
        <scheme val="minor"/>
      </font>
    </dxf>
  </rfmt>
  <rfmt sheetId="1" sqref="D120" start="0" length="0">
    <dxf>
      <font>
        <sz val="10"/>
        <name val="Times New Roman"/>
        <scheme val="minor"/>
      </font>
    </dxf>
  </rfmt>
  <rfmt sheetId="1" sqref="D121" start="0" length="0">
    <dxf>
      <font>
        <sz val="10"/>
        <name val="Times New Roman"/>
        <scheme val="minor"/>
      </font>
    </dxf>
  </rfmt>
  <rfmt sheetId="1" sqref="D122" start="0" length="0">
    <dxf>
      <font>
        <sz val="10"/>
        <name val="Times New Roman"/>
        <scheme val="minor"/>
      </font>
    </dxf>
  </rfmt>
  <rfmt sheetId="1" sqref="D123" start="0" length="0">
    <dxf>
      <font>
        <sz val="10"/>
        <name val="Times New Roman"/>
        <scheme val="minor"/>
      </font>
    </dxf>
  </rfmt>
  <rfmt sheetId="1" sqref="D124" start="0" length="0">
    <dxf>
      <font>
        <sz val="10"/>
        <name val="Times New Roman"/>
        <scheme val="minor"/>
      </font>
    </dxf>
  </rfmt>
  <rfmt sheetId="1" sqref="D125" start="0" length="0">
    <dxf>
      <font>
        <sz val="10"/>
        <name val="Times New Roman"/>
        <scheme val="minor"/>
      </font>
    </dxf>
  </rfmt>
  <rfmt sheetId="1" sqref="D126" start="0" length="0">
    <dxf>
      <font>
        <sz val="10"/>
        <name val="Times New Roman"/>
        <scheme val="minor"/>
      </font>
    </dxf>
  </rfmt>
  <rfmt sheetId="1" sqref="D127" start="0" length="0">
    <dxf>
      <font>
        <sz val="10"/>
        <name val="Times New Roman"/>
        <scheme val="minor"/>
      </font>
    </dxf>
  </rfmt>
  <rfmt sheetId="1" sqref="D128" start="0" length="0">
    <dxf>
      <font>
        <sz val="10"/>
        <name val="Times New Roman"/>
        <scheme val="minor"/>
      </font>
    </dxf>
  </rfmt>
  <rfmt sheetId="1" sqref="D129" start="0" length="0">
    <dxf>
      <font>
        <sz val="10"/>
        <name val="Times New Roman"/>
        <scheme val="minor"/>
      </font>
    </dxf>
  </rfmt>
  <rfmt sheetId="1" sqref="D130" start="0" length="0">
    <dxf>
      <font>
        <sz val="10"/>
        <name val="Times New Roman"/>
        <scheme val="minor"/>
      </font>
    </dxf>
  </rfmt>
  <rfmt sheetId="1" sqref="D131" start="0" length="0">
    <dxf>
      <font>
        <sz val="10"/>
        <name val="Times New Roman"/>
        <scheme val="minor"/>
      </font>
    </dxf>
  </rfmt>
  <rfmt sheetId="1" sqref="D132" start="0" length="0">
    <dxf>
      <font>
        <sz val="10"/>
        <name val="Times New Roman"/>
        <scheme val="minor"/>
      </font>
    </dxf>
  </rfmt>
  <rfmt sheetId="1" sqref="D133" start="0" length="0">
    <dxf>
      <font>
        <sz val="10"/>
        <name val="Times New Roman"/>
        <scheme val="minor"/>
      </font>
    </dxf>
  </rfmt>
  <rfmt sheetId="1" sqref="D134" start="0" length="0">
    <dxf>
      <font>
        <sz val="10"/>
        <name val="Times New Roman"/>
        <scheme val="minor"/>
      </font>
    </dxf>
  </rfmt>
  <rfmt sheetId="1" sqref="D135" start="0" length="0">
    <dxf>
      <font>
        <sz val="10"/>
        <name val="Times New Roman"/>
        <scheme val="minor"/>
      </font>
    </dxf>
  </rfmt>
  <rfmt sheetId="1" sqref="D136" start="0" length="0">
    <dxf>
      <font>
        <sz val="10"/>
        <name val="Times New Roman"/>
        <scheme val="minor"/>
      </font>
    </dxf>
  </rfmt>
  <rfmt sheetId="1" sqref="D137" start="0" length="0">
    <dxf>
      <font>
        <sz val="10"/>
        <name val="Times New Roman"/>
        <scheme val="minor"/>
      </font>
    </dxf>
  </rfmt>
  <rfmt sheetId="1" sqref="D138" start="0" length="0">
    <dxf>
      <font>
        <sz val="10"/>
        <name val="Times New Roman"/>
        <scheme val="minor"/>
      </font>
    </dxf>
  </rfmt>
  <rfmt sheetId="1" sqref="D139" start="0" length="0">
    <dxf>
      <font>
        <sz val="10"/>
        <name val="Times New Roman"/>
        <scheme val="minor"/>
      </font>
    </dxf>
  </rfmt>
  <rfmt sheetId="1" sqref="D140" start="0" length="0">
    <dxf>
      <font>
        <sz val="10"/>
        <name val="Times New Roman"/>
        <scheme val="minor"/>
      </font>
    </dxf>
  </rfmt>
  <rfmt sheetId="1" sqref="D141" start="0" length="0">
    <dxf>
      <font>
        <sz val="10"/>
        <name val="Times New Roman"/>
        <scheme val="minor"/>
      </font>
    </dxf>
  </rfmt>
  <rfmt sheetId="1" sqref="D142" start="0" length="0">
    <dxf>
      <font>
        <sz val="10"/>
        <name val="Times New Roman"/>
        <scheme val="minor"/>
      </font>
    </dxf>
  </rfmt>
  <rfmt sheetId="1" sqref="D143" start="0" length="0">
    <dxf>
      <font>
        <sz val="10"/>
        <name val="Times New Roman"/>
        <scheme val="minor"/>
      </font>
    </dxf>
  </rfmt>
  <rfmt sheetId="1" sqref="D144" start="0" length="0">
    <dxf>
      <font>
        <sz val="10"/>
        <name val="Times New Roman"/>
        <scheme val="minor"/>
      </font>
    </dxf>
  </rfmt>
  <rfmt sheetId="1" sqref="D145" start="0" length="0">
    <dxf>
      <font>
        <sz val="10"/>
        <name val="Times New Roman"/>
        <scheme val="minor"/>
      </font>
    </dxf>
  </rfmt>
  <rfmt sheetId="1" sqref="D146" start="0" length="0">
    <dxf>
      <font>
        <sz val="10"/>
        <name val="Times New Roman"/>
        <scheme val="minor"/>
      </font>
    </dxf>
  </rfmt>
  <rfmt sheetId="1" sqref="D147" start="0" length="0">
    <dxf>
      <font>
        <sz val="10"/>
        <name val="Times New Roman"/>
        <scheme val="minor"/>
      </font>
    </dxf>
  </rfmt>
  <rfmt sheetId="1" sqref="D148" start="0" length="0">
    <dxf>
      <font>
        <sz val="10"/>
        <name val="Times New Roman"/>
        <scheme val="minor"/>
      </font>
    </dxf>
  </rfmt>
  <rfmt sheetId="1" sqref="D149" start="0" length="0">
    <dxf>
      <font>
        <sz val="10"/>
        <name val="Times New Roman"/>
        <scheme val="minor"/>
      </font>
    </dxf>
  </rfmt>
  <rfmt sheetId="1" sqref="D150" start="0" length="0">
    <dxf>
      <font>
        <sz val="10"/>
        <name val="Times New Roman"/>
        <scheme val="minor"/>
      </font>
    </dxf>
  </rfmt>
  <rfmt sheetId="1" sqref="D151" start="0" length="0">
    <dxf>
      <font>
        <sz val="10"/>
        <name val="Times New Roman"/>
        <scheme val="minor"/>
      </font>
    </dxf>
  </rfmt>
  <rfmt sheetId="1" sqref="D152" start="0" length="0">
    <dxf>
      <font>
        <sz val="10"/>
        <name val="Times New Roman"/>
        <scheme val="minor"/>
      </font>
    </dxf>
  </rfmt>
  <rfmt sheetId="1" sqref="D153" start="0" length="0">
    <dxf>
      <font>
        <sz val="10"/>
        <name val="Times New Roman"/>
        <scheme val="minor"/>
      </font>
    </dxf>
  </rfmt>
  <rfmt sheetId="1" sqref="D154" start="0" length="0">
    <dxf>
      <font>
        <sz val="10"/>
        <name val="Times New Roman"/>
        <scheme val="minor"/>
      </font>
    </dxf>
  </rfmt>
  <rfmt sheetId="1" sqref="D155" start="0" length="0">
    <dxf>
      <font>
        <sz val="10"/>
        <name val="Times New Roman"/>
        <scheme val="minor"/>
      </font>
    </dxf>
  </rfmt>
  <rfmt sheetId="1" sqref="D156" start="0" length="0">
    <dxf>
      <font>
        <sz val="10"/>
        <name val="Times New Roman"/>
        <scheme val="minor"/>
      </font>
    </dxf>
  </rfmt>
  <rfmt sheetId="1" sqref="D157" start="0" length="0">
    <dxf>
      <font>
        <sz val="10"/>
        <name val="Times New Roman"/>
        <scheme val="minor"/>
      </font>
    </dxf>
  </rfmt>
  <rfmt sheetId="1" sqref="D158" start="0" length="0">
    <dxf>
      <font>
        <sz val="10"/>
        <name val="Times New Roman"/>
        <scheme val="minor"/>
      </font>
    </dxf>
  </rfmt>
  <rfmt sheetId="1" sqref="D159" start="0" length="0">
    <dxf>
      <font>
        <sz val="10"/>
        <name val="Times New Roman"/>
        <scheme val="minor"/>
      </font>
    </dxf>
  </rfmt>
  <rfmt sheetId="1" sqref="D160" start="0" length="0">
    <dxf>
      <font>
        <sz val="10"/>
        <name val="Times New Roman"/>
        <scheme val="minor"/>
      </font>
    </dxf>
  </rfmt>
  <rfmt sheetId="1" sqref="D161" start="0" length="0">
    <dxf>
      <font>
        <sz val="10"/>
        <name val="Times New Roman"/>
        <scheme val="minor"/>
      </font>
    </dxf>
  </rfmt>
  <rfmt sheetId="1" sqref="D162" start="0" length="0">
    <dxf>
      <font>
        <sz val="10"/>
        <name val="Times New Roman"/>
        <scheme val="minor"/>
      </font>
    </dxf>
  </rfmt>
  <rfmt sheetId="1" sqref="D163" start="0" length="0">
    <dxf>
      <font>
        <sz val="10"/>
        <name val="Times New Roman"/>
        <scheme val="minor"/>
      </font>
    </dxf>
  </rfmt>
  <rfmt sheetId="1" sqref="D164" start="0" length="0">
    <dxf>
      <font>
        <sz val="10"/>
        <name val="Times New Roman"/>
        <scheme val="minor"/>
      </font>
    </dxf>
  </rfmt>
  <rfmt sheetId="1" sqref="D165" start="0" length="0">
    <dxf>
      <font>
        <sz val="10"/>
        <name val="Times New Roman"/>
        <scheme val="minor"/>
      </font>
    </dxf>
  </rfmt>
  <rfmt sheetId="1" sqref="D166" start="0" length="0">
    <dxf>
      <font>
        <sz val="10"/>
        <name val="Times New Roman"/>
        <scheme val="minor"/>
      </font>
    </dxf>
  </rfmt>
  <rfmt sheetId="1" sqref="D167" start="0" length="0">
    <dxf>
      <font>
        <sz val="10"/>
        <name val="Times New Roman"/>
        <scheme val="minor"/>
      </font>
    </dxf>
  </rfmt>
  <rfmt sheetId="1" sqref="D168" start="0" length="0">
    <dxf>
      <font>
        <sz val="10"/>
        <name val="Times New Roman"/>
        <scheme val="minor"/>
      </font>
    </dxf>
  </rfmt>
  <rfmt sheetId="1" sqref="D169" start="0" length="0">
    <dxf>
      <font>
        <sz val="10"/>
        <name val="Times New Roman"/>
        <scheme val="minor"/>
      </font>
    </dxf>
  </rfmt>
  <rfmt sheetId="1" sqref="D170" start="0" length="0">
    <dxf>
      <font>
        <sz val="10"/>
        <name val="Times New Roman"/>
        <scheme val="minor"/>
      </font>
    </dxf>
  </rfmt>
  <rfmt sheetId="1" sqref="D171" start="0" length="0">
    <dxf>
      <font>
        <sz val="10"/>
        <name val="Times New Roman"/>
        <scheme val="minor"/>
      </font>
    </dxf>
  </rfmt>
  <rfmt sheetId="1" sqref="D172" start="0" length="0">
    <dxf>
      <font>
        <sz val="10"/>
        <name val="Times New Roman"/>
        <scheme val="minor"/>
      </font>
    </dxf>
  </rfmt>
  <rfmt sheetId="1" sqref="D173" start="0" length="0">
    <dxf>
      <font>
        <sz val="10"/>
        <name val="Times New Roman"/>
        <scheme val="minor"/>
      </font>
    </dxf>
  </rfmt>
  <rfmt sheetId="1" sqref="D174" start="0" length="0">
    <dxf>
      <font>
        <sz val="10"/>
        <name val="Times New Roman"/>
        <scheme val="minor"/>
      </font>
    </dxf>
  </rfmt>
  <rfmt sheetId="1" sqref="D175" start="0" length="0">
    <dxf>
      <font>
        <sz val="10"/>
        <name val="Times New Roman"/>
        <scheme val="minor"/>
      </font>
    </dxf>
  </rfmt>
  <rfmt sheetId="1" sqref="D176" start="0" length="0">
    <dxf>
      <font>
        <sz val="10"/>
        <name val="Times New Roman"/>
        <scheme val="minor"/>
      </font>
    </dxf>
  </rfmt>
  <rfmt sheetId="1" sqref="D177" start="0" length="0">
    <dxf>
      <font>
        <sz val="10"/>
        <name val="Times New Roman"/>
        <scheme val="minor"/>
      </font>
    </dxf>
  </rfmt>
  <rfmt sheetId="1" sqref="D178" start="0" length="0">
    <dxf>
      <font>
        <sz val="10"/>
        <name val="Times New Roman"/>
        <scheme val="minor"/>
      </font>
    </dxf>
  </rfmt>
  <rfmt sheetId="1" sqref="D179" start="0" length="0">
    <dxf>
      <font>
        <sz val="10"/>
        <name val="Times New Roman"/>
        <scheme val="minor"/>
      </font>
    </dxf>
  </rfmt>
  <rfmt sheetId="1" sqref="D180" start="0" length="0">
    <dxf>
      <font>
        <sz val="10"/>
        <name val="Times New Roman"/>
        <scheme val="minor"/>
      </font>
    </dxf>
  </rfmt>
  <rfmt sheetId="1" sqref="D181" start="0" length="0">
    <dxf>
      <font>
        <sz val="10"/>
        <name val="Times New Roman"/>
        <scheme val="minor"/>
      </font>
    </dxf>
  </rfmt>
  <rfmt sheetId="1" sqref="D182" start="0" length="0">
    <dxf>
      <font>
        <sz val="10"/>
        <name val="Times New Roman"/>
        <scheme val="minor"/>
      </font>
    </dxf>
  </rfmt>
  <rfmt sheetId="1" sqref="D183" start="0" length="0">
    <dxf>
      <font>
        <sz val="10"/>
        <name val="Times New Roman"/>
        <scheme val="minor"/>
      </font>
    </dxf>
  </rfmt>
  <rfmt sheetId="1" sqref="D184" start="0" length="0">
    <dxf>
      <font>
        <sz val="10"/>
        <name val="Times New Roman"/>
        <scheme val="minor"/>
      </font>
    </dxf>
  </rfmt>
  <rfmt sheetId="1" sqref="D185" start="0" length="0">
    <dxf>
      <font>
        <sz val="10"/>
        <name val="Times New Roman"/>
        <scheme val="minor"/>
      </font>
    </dxf>
  </rfmt>
  <rfmt sheetId="1" sqref="D186" start="0" length="0">
    <dxf>
      <font>
        <sz val="10"/>
        <name val="Times New Roman"/>
        <scheme val="minor"/>
      </font>
    </dxf>
  </rfmt>
  <rfmt sheetId="1" sqref="D187" start="0" length="0">
    <dxf>
      <font>
        <sz val="10"/>
        <name val="Times New Roman"/>
        <scheme val="minor"/>
      </font>
    </dxf>
  </rfmt>
  <rfmt sheetId="1" sqref="D188" start="0" length="0">
    <dxf>
      <font>
        <sz val="10"/>
        <name val="Times New Roman"/>
        <scheme val="minor"/>
      </font>
    </dxf>
  </rfmt>
  <rfmt sheetId="1" sqref="D189" start="0" length="0">
    <dxf>
      <font>
        <sz val="10"/>
        <name val="Times New Roman"/>
        <scheme val="minor"/>
      </font>
    </dxf>
  </rfmt>
  <rfmt sheetId="1" sqref="D190" start="0" length="0">
    <dxf>
      <font>
        <sz val="10"/>
        <name val="Times New Roman"/>
        <scheme val="minor"/>
      </font>
    </dxf>
  </rfmt>
  <rfmt sheetId="1" sqref="D191" start="0" length="0">
    <dxf>
      <font>
        <sz val="10"/>
        <name val="Times New Roman"/>
        <scheme val="minor"/>
      </font>
    </dxf>
  </rfmt>
  <rfmt sheetId="1" sqref="D192" start="0" length="0">
    <dxf>
      <font>
        <sz val="10"/>
        <name val="Times New Roman"/>
        <scheme val="minor"/>
      </font>
    </dxf>
  </rfmt>
  <rfmt sheetId="1" sqref="D193" start="0" length="0">
    <dxf>
      <font>
        <sz val="10"/>
        <name val="Times New Roman"/>
        <scheme val="minor"/>
      </font>
    </dxf>
  </rfmt>
  <rfmt sheetId="1" sqref="D194" start="0" length="0">
    <dxf>
      <font>
        <sz val="10"/>
        <name val="Times New Roman"/>
        <scheme val="minor"/>
      </font>
    </dxf>
  </rfmt>
  <rfmt sheetId="1" sqref="D195" start="0" length="0">
    <dxf>
      <font>
        <sz val="10"/>
        <name val="Times New Roman"/>
        <scheme val="minor"/>
      </font>
    </dxf>
  </rfmt>
  <rfmt sheetId="1" sqref="D196" start="0" length="0">
    <dxf>
      <font>
        <sz val="10"/>
        <name val="Times New Roman"/>
        <scheme val="minor"/>
      </font>
    </dxf>
  </rfmt>
  <rfmt sheetId="1" sqref="D197" start="0" length="0">
    <dxf>
      <font>
        <sz val="10"/>
        <name val="Times New Roman"/>
        <scheme val="minor"/>
      </font>
    </dxf>
  </rfmt>
  <rfmt sheetId="1" sqref="D198" start="0" length="0">
    <dxf>
      <font>
        <sz val="10"/>
        <name val="Times New Roman"/>
        <scheme val="minor"/>
      </font>
    </dxf>
  </rfmt>
  <rfmt sheetId="1" sqref="D199" start="0" length="0">
    <dxf>
      <font>
        <sz val="10"/>
        <name val="Times New Roman"/>
        <scheme val="minor"/>
      </font>
    </dxf>
  </rfmt>
  <rfmt sheetId="1" sqref="D200" start="0" length="0">
    <dxf>
      <font>
        <sz val="10"/>
        <name val="Times New Roman"/>
        <scheme val="minor"/>
      </font>
    </dxf>
  </rfmt>
  <rfmt sheetId="1" sqref="D201" start="0" length="0">
    <dxf>
      <font>
        <sz val="10"/>
        <name val="Times New Roman"/>
        <scheme val="minor"/>
      </font>
    </dxf>
  </rfmt>
  <rfmt sheetId="1" sqref="D202" start="0" length="0">
    <dxf>
      <font>
        <sz val="10"/>
        <name val="Times New Roman"/>
        <scheme val="minor"/>
      </font>
    </dxf>
  </rfmt>
  <rfmt sheetId="1" sqref="D203" start="0" length="0">
    <dxf>
      <font>
        <sz val="10"/>
        <name val="Times New Roman"/>
        <scheme val="minor"/>
      </font>
    </dxf>
  </rfmt>
  <rfmt sheetId="1" sqref="D204" start="0" length="0">
    <dxf>
      <font>
        <sz val="10"/>
        <name val="Times New Roman"/>
        <scheme val="minor"/>
      </font>
    </dxf>
  </rfmt>
  <rfmt sheetId="1" sqref="D205" start="0" length="0">
    <dxf>
      <font>
        <sz val="10"/>
        <name val="Times New Roman"/>
        <scheme val="minor"/>
      </font>
    </dxf>
  </rfmt>
  <rfmt sheetId="1" sqref="D206" start="0" length="0">
    <dxf>
      <font>
        <sz val="10"/>
        <name val="Times New Roman"/>
        <scheme val="minor"/>
      </font>
    </dxf>
  </rfmt>
  <rfmt sheetId="1" sqref="D232" start="0" length="0">
    <dxf>
      <font>
        <sz val="10"/>
        <name val="Times New Roman"/>
        <scheme val="minor"/>
      </font>
    </dxf>
  </rfmt>
  <rfmt sheetId="1" sqref="D233" start="0" length="0">
    <dxf>
      <font>
        <sz val="10"/>
        <name val="Times New Roman"/>
        <scheme val="minor"/>
      </font>
    </dxf>
  </rfmt>
  <rfmt sheetId="1" sqref="D234" start="0" length="0">
    <dxf>
      <font>
        <sz val="10"/>
        <name val="Times New Roman"/>
        <scheme val="minor"/>
      </font>
    </dxf>
  </rfmt>
  <rfmt sheetId="1" sqref="D235" start="0" length="0">
    <dxf>
      <font>
        <sz val="10"/>
        <name val="Times New Roman"/>
        <scheme val="minor"/>
      </font>
    </dxf>
  </rfmt>
  <rfmt sheetId="1" sqref="D236" start="0" length="0">
    <dxf>
      <font>
        <sz val="10"/>
        <name val="Times New Roman"/>
        <scheme val="minor"/>
      </font>
    </dxf>
  </rfmt>
  <rfmt sheetId="1" sqref="D237" start="0" length="0">
    <dxf>
      <font>
        <sz val="10"/>
        <name val="Times New Roman"/>
        <scheme val="minor"/>
      </font>
    </dxf>
  </rfmt>
  <rfmt sheetId="1" sqref="D238" start="0" length="0">
    <dxf>
      <font>
        <sz val="10"/>
        <name val="Times New Roman"/>
        <scheme val="minor"/>
      </font>
    </dxf>
  </rfmt>
  <rfmt sheetId="1" sqref="D239" start="0" length="0">
    <dxf>
      <font>
        <sz val="10"/>
        <name val="Times New Roman"/>
        <scheme val="minor"/>
      </font>
    </dxf>
  </rfmt>
  <rfmt sheetId="1" sqref="D240" start="0" length="0">
    <dxf>
      <font>
        <sz val="10"/>
        <name val="Times New Roman"/>
        <scheme val="minor"/>
      </font>
    </dxf>
  </rfmt>
  <rfmt sheetId="1" sqref="D241" start="0" length="0">
    <dxf>
      <font>
        <sz val="10"/>
        <name val="Times New Roman"/>
        <scheme val="minor"/>
      </font>
    </dxf>
  </rfmt>
  <rfmt sheetId="1" sqref="D242" start="0" length="0">
    <dxf>
      <font>
        <sz val="10"/>
        <name val="Times New Roman"/>
        <scheme val="minor"/>
      </font>
    </dxf>
  </rfmt>
  <rfmt sheetId="1" sqref="D243" start="0" length="0">
    <dxf>
      <font>
        <sz val="10"/>
        <name val="Times New Roman"/>
        <scheme val="minor"/>
      </font>
    </dxf>
  </rfmt>
  <rfmt sheetId="1" sqref="D244" start="0" length="0">
    <dxf>
      <font>
        <sz val="10"/>
        <name val="Times New Roman"/>
        <scheme val="minor"/>
      </font>
    </dxf>
  </rfmt>
  <rfmt sheetId="1" sqref="D245" start="0" length="0">
    <dxf>
      <font>
        <sz val="10"/>
        <name val="Times New Roman"/>
        <scheme val="minor"/>
      </font>
    </dxf>
  </rfmt>
  <rfmt sheetId="1" sqref="D246" start="0" length="0">
    <dxf>
      <font>
        <sz val="10"/>
        <name val="Times New Roman"/>
        <scheme val="minor"/>
      </font>
    </dxf>
  </rfmt>
  <rfmt sheetId="1" sqref="D247" start="0" length="0">
    <dxf>
      <font>
        <sz val="10"/>
        <name val="Times New Roman"/>
        <scheme val="minor"/>
      </font>
    </dxf>
  </rfmt>
  <rfmt sheetId="1" sqref="D248" start="0" length="0">
    <dxf>
      <font>
        <sz val="10"/>
        <name val="Times New Roman"/>
        <scheme val="minor"/>
      </font>
    </dxf>
  </rfmt>
  <rfmt sheetId="1" sqref="D249" start="0" length="0">
    <dxf>
      <font>
        <sz val="10"/>
        <name val="Times New Roman"/>
        <scheme val="minor"/>
      </font>
    </dxf>
  </rfmt>
  <rfmt sheetId="1" sqref="D250" start="0" length="0">
    <dxf>
      <font>
        <sz val="10"/>
        <name val="Times New Roman"/>
        <scheme val="minor"/>
      </font>
    </dxf>
  </rfmt>
  <rfmt sheetId="1" sqref="D251" start="0" length="0">
    <dxf>
      <font>
        <sz val="10"/>
        <name val="Times New Roman"/>
        <scheme val="minor"/>
      </font>
    </dxf>
  </rfmt>
</revisions>
</file>

<file path=xl/revisions/revisionLog1311.xml><?xml version="1.0" encoding="utf-8"?>
<revisions xmlns="http://schemas.openxmlformats.org/spreadsheetml/2006/main" xmlns:r="http://schemas.openxmlformats.org/officeDocument/2006/relationships">
  <rcc rId="56" sId="1">
    <nc r="G249">
      <f>0.096281*1000</f>
    </nc>
  </rcc>
  <rcc rId="57" sId="1">
    <nc r="I249">
      <f>0.072711*1000</f>
    </nc>
  </rcc>
  <rcc rId="58" sId="2" odxf="1" dxf="1">
    <nc r="F252">
      <f>0.096281*1000</f>
    </nc>
    <odxf>
      <alignment horizontal="general" vertical="bottom" readingOrder="0"/>
    </odxf>
    <ndxf>
      <alignment horizontal="right" vertical="top" readingOrder="0"/>
    </ndxf>
  </rcc>
  <rcc rId="59" sId="2">
    <nc r="E252" t="inlineStr">
      <is>
        <t>5-39э/1-16 от 30.12.2016</t>
      </is>
    </nc>
  </rcc>
  <rcc rId="60" sId="3">
    <nc r="E251" t="inlineStr">
      <is>
        <t>5-39э/1-16 от 30.12.2016</t>
      </is>
    </nc>
  </rcc>
  <rcc rId="61" sId="3" odxf="1" dxf="1">
    <nc r="F251">
      <f>0.096281*1000</f>
    </nc>
    <odxf>
      <alignment horizontal="general" vertical="bottom" readingOrder="0"/>
    </odxf>
    <ndxf>
      <alignment horizontal="right" vertical="top" readingOrder="0"/>
    </ndxf>
  </rcc>
</revisions>
</file>

<file path=xl/revisions/revisionLog13111.xml><?xml version="1.0" encoding="utf-8"?>
<revisions xmlns="http://schemas.openxmlformats.org/spreadsheetml/2006/main" xmlns:r="http://schemas.openxmlformats.org/officeDocument/2006/relationships">
  <rcc rId="50" sId="1">
    <nc r="G250">
      <f>0.114996*1000</f>
    </nc>
  </rcc>
  <rcc rId="51" sId="1">
    <nc r="I250">
      <f>0.029563*1000</f>
    </nc>
  </rcc>
  <rcc rId="52" sId="2" odxf="1" dxf="1">
    <nc r="F253">
      <f>0.114996*1000</f>
    </nc>
    <odxf>
      <alignment horizontal="general" vertical="bottom" readingOrder="0"/>
    </odxf>
    <ndxf>
      <alignment horizontal="right" vertical="top" readingOrder="0"/>
    </ndxf>
  </rcc>
  <rcc rId="53" sId="2">
    <nc r="E253" t="inlineStr">
      <is>
        <t>5-462э/16 от 30.12.2016</t>
      </is>
    </nc>
  </rcc>
  <rcc rId="54" sId="3">
    <nc r="E252" t="inlineStr">
      <is>
        <t>5-462э/16 от 30.12.2016</t>
      </is>
    </nc>
  </rcc>
  <rcc rId="55" sId="3" odxf="1" dxf="1">
    <nc r="F252">
      <f>0.114996*1000</f>
    </nc>
    <odxf>
      <alignment horizontal="general" vertical="bottom" readingOrder="0"/>
    </odxf>
    <ndxf>
      <alignment horizontal="right" vertical="top" readingOrder="0"/>
    </ndxf>
  </rcc>
</revisions>
</file>

<file path=xl/revisions/revisionLog131111.xml><?xml version="1.0" encoding="utf-8"?>
<revisions xmlns="http://schemas.openxmlformats.org/spreadsheetml/2006/main" xmlns:r="http://schemas.openxmlformats.org/officeDocument/2006/relationships">
  <rcc rId="44" sId="1">
    <nc r="G259">
      <f>0.038216*1000</f>
    </nc>
  </rcc>
  <rcc rId="45" sId="1">
    <nc r="I259">
      <f>0.015085*1000</f>
    </nc>
  </rcc>
  <rcc rId="46" sId="2" odxf="1" dxf="1">
    <nc r="F262">
      <f>0.038216*1000</f>
    </nc>
    <odxf>
      <alignment horizontal="general" vertical="bottom" readingOrder="0"/>
    </odxf>
    <ndxf>
      <alignment horizontal="right" vertical="top" readingOrder="0"/>
    </ndxf>
  </rcc>
  <rcc rId="47" sId="2">
    <nc r="E262" t="inlineStr">
      <is>
        <t>5-40э/1-16 от 30.12.2016</t>
      </is>
    </nc>
  </rcc>
  <rcc rId="48" sId="3">
    <nc r="E261" t="inlineStr">
      <is>
        <t>5-40э/1-16 от 30.12.2016</t>
      </is>
    </nc>
  </rcc>
  <rcc rId="49" sId="3" odxf="1" dxf="1">
    <nc r="F261">
      <f>0.038216*1000</f>
    </nc>
    <odxf>
      <alignment horizontal="general" vertical="bottom" readingOrder="0"/>
    </odxf>
    <ndxf>
      <alignment horizontal="right" vertical="top" readingOrder="0"/>
    </ndxf>
  </rcc>
</revisions>
</file>

<file path=xl/revisions/revisionLog1312.xml><?xml version="1.0" encoding="utf-8"?>
<revisions xmlns="http://schemas.openxmlformats.org/spreadsheetml/2006/main" xmlns:r="http://schemas.openxmlformats.org/officeDocument/2006/relationships">
  <rcc rId="724" sId="1">
    <nc r="I232">
      <f>0.081831*1000</f>
    </nc>
  </rcc>
  <rcc rId="725" sId="1">
    <nc r="G232">
      <f>0.315133*1000</f>
    </nc>
  </rcc>
  <rfmt sheetId="2" sqref="F235" start="0" length="0">
    <dxf>
      <alignment horizontal="center" vertical="top" readingOrder="0"/>
    </dxf>
  </rfmt>
  <rcc rId="726" sId="2" odxf="1" dxf="1">
    <nc r="F235">
      <f>0.315133*1000</f>
    </nc>
    <ndxf>
      <alignment horizontal="right" readingOrder="0"/>
    </ndxf>
  </rcc>
  <rcc rId="727" sId="2">
    <nc r="E235" t="inlineStr">
      <is>
        <t>328-ТМ/16 от 23.12.2016</t>
      </is>
    </nc>
  </rcc>
  <rcc rId="728" sId="3">
    <nc r="E234" t="inlineStr">
      <is>
        <t>328-ТМ/16 от 23.12.2016</t>
      </is>
    </nc>
  </rcc>
  <rcc rId="729" sId="3" odxf="1" dxf="1">
    <nc r="F234">
      <f>0.315133*1000</f>
    </nc>
    <odxf>
      <alignment horizontal="general" vertical="bottom" readingOrder="0"/>
    </odxf>
    <ndxf>
      <alignment horizontal="right" vertical="top" readingOrder="0"/>
    </ndxf>
  </rcc>
  <rcv guid="{586B0D0F-AFD5-489E-A810-F5CDD42644EC}" action="delete"/>
  <rcv guid="{586B0D0F-AFD5-489E-A810-F5CDD42644EC}" action="add"/>
</revisions>
</file>

<file path=xl/revisions/revisionLog13121.xml><?xml version="1.0" encoding="utf-8"?>
<revisions xmlns="http://schemas.openxmlformats.org/spreadsheetml/2006/main" xmlns:r="http://schemas.openxmlformats.org/officeDocument/2006/relationships">
  <rcc rId="711" sId="1">
    <nc r="I183">
      <f>2.841075*1000</f>
    </nc>
  </rcc>
  <rfmt sheetId="1" sqref="I183">
    <dxf>
      <fill>
        <patternFill>
          <bgColor theme="0"/>
        </patternFill>
      </fill>
    </dxf>
  </rfmt>
  <rcv guid="{586B0D0F-AFD5-489E-A810-F5CDD42644EC}" action="delete"/>
  <rcv guid="{586B0D0F-AFD5-489E-A810-F5CDD42644EC}" action="add"/>
</revisions>
</file>

<file path=xl/revisions/revisionLog131211.xml><?xml version="1.0" encoding="utf-8"?>
<revisions xmlns="http://schemas.openxmlformats.org/spreadsheetml/2006/main" xmlns:r="http://schemas.openxmlformats.org/officeDocument/2006/relationships">
  <rcc rId="62" sId="1">
    <nc r="G248">
      <f>0.110307*1000</f>
    </nc>
  </rcc>
  <rcc rId="63" sId="1">
    <nc r="I248">
      <f>0.020603*1000</f>
    </nc>
  </rcc>
  <rcc rId="64" sId="2" odxf="1" dxf="1">
    <nc r="F251">
      <f>0.096281*1000</f>
    </nc>
    <odxf>
      <alignment horizontal="general" vertical="bottom" readingOrder="0"/>
    </odxf>
    <ndxf>
      <alignment horizontal="right" vertical="top" readingOrder="0"/>
    </ndxf>
  </rcc>
  <rcc rId="65" sId="2">
    <nc r="E251" t="inlineStr">
      <is>
        <t>5-1/17 от 30.12.2016</t>
      </is>
    </nc>
  </rcc>
  <rcc rId="66" sId="3">
    <nc r="E250" t="inlineStr">
      <is>
        <t>5-1/17 от 30.12.2016</t>
      </is>
    </nc>
  </rcc>
  <rcc rId="67" sId="3" odxf="1" dxf="1">
    <nc r="F250">
      <f>0.096281*1000</f>
    </nc>
    <odxf>
      <alignment horizontal="general" vertical="bottom" readingOrder="0"/>
    </odxf>
    <ndxf>
      <alignment horizontal="right" vertical="top" readingOrder="0"/>
    </ndxf>
  </rcc>
</revisions>
</file>

<file path=xl/revisions/revisionLog132.xml><?xml version="1.0" encoding="utf-8"?>
<revisions xmlns="http://schemas.openxmlformats.org/spreadsheetml/2006/main" xmlns:r="http://schemas.openxmlformats.org/officeDocument/2006/relationships">
  <rcc rId="97" sId="1">
    <nc r="G21">
      <f>0.171592*1000</f>
    </nc>
  </rcc>
  <rcc rId="98" sId="1">
    <nc r="I21">
      <f>0.066942*1000</f>
    </nc>
  </rcc>
  <rcc rId="99" sId="2" odxf="1" dxf="1">
    <nc r="F21">
      <f>0.171592*1000</f>
    </nc>
    <odxf>
      <alignment horizontal="general" vertical="bottom" readingOrder="0"/>
    </odxf>
    <ndxf>
      <alignment horizontal="right" vertical="top" readingOrder="0"/>
    </ndxf>
  </rcc>
  <rcc rId="100" sId="2">
    <nc r="E21" t="inlineStr">
      <is>
        <t>5-59/16 от 30.12.2016</t>
      </is>
    </nc>
  </rcc>
  <rcc rId="101" sId="3">
    <nc r="E21" t="inlineStr">
      <is>
        <t>5-59/16 от 30.12.2016</t>
      </is>
    </nc>
  </rcc>
  <rcc rId="102" sId="3" odxf="1" dxf="1">
    <nc r="F21">
      <f>0.171592*1000</f>
    </nc>
    <odxf>
      <alignment horizontal="general" vertical="bottom" readingOrder="0"/>
    </odxf>
    <ndxf>
      <alignment horizontal="right" vertical="top" readingOrder="0"/>
    </ndxf>
  </rcc>
</revisions>
</file>

<file path=xl/revisions/revisionLog14.xml><?xml version="1.0" encoding="utf-8"?>
<revisions xmlns="http://schemas.openxmlformats.org/spreadsheetml/2006/main" xmlns:r="http://schemas.openxmlformats.org/officeDocument/2006/relationships">
  <rcc rId="144" sId="3">
    <nc r="E136" t="inlineStr">
      <is>
        <t>5-33/16 от 30.12.2016</t>
      </is>
    </nc>
  </rcc>
  <rcc rId="145" sId="3" odxf="1" dxf="1">
    <nc r="F136">
      <f>1.26836*1000</f>
    </nc>
    <odxf>
      <alignment horizontal="general" vertical="bottom" readingOrder="0"/>
    </odxf>
    <ndxf>
      <alignment horizontal="right" vertical="top" readingOrder="0"/>
    </ndxf>
  </rcc>
</revisions>
</file>

<file path=xl/revisions/revisionLog141.xml><?xml version="1.0" encoding="utf-8"?>
<revisions xmlns="http://schemas.openxmlformats.org/spreadsheetml/2006/main" xmlns:r="http://schemas.openxmlformats.org/officeDocument/2006/relationships">
  <rcc rId="116" sId="1">
    <nc r="G33">
      <f>0.261986*1000</f>
    </nc>
  </rcc>
  <rcc rId="117" sId="1">
    <nc r="I33">
      <f>0.120842*1000</f>
    </nc>
  </rcc>
  <rcc rId="118" sId="2" odxf="1" dxf="1">
    <nc r="F33">
      <f>0.261986*1000</f>
    </nc>
    <odxf>
      <alignment horizontal="general" vertical="bottom" readingOrder="0"/>
    </odxf>
    <ndxf>
      <alignment horizontal="right" vertical="top" readingOrder="0"/>
    </ndxf>
  </rcc>
  <rcc rId="119" sId="2">
    <nc r="E33" t="inlineStr">
      <is>
        <t>5-56/16 от 30.12.2016</t>
      </is>
    </nc>
  </rcc>
  <rcc rId="120" sId="3">
    <nc r="E33" t="inlineStr">
      <is>
        <t>5-56/16 от 30.12.2016</t>
      </is>
    </nc>
  </rcc>
  <rcc rId="121" sId="3" odxf="1" dxf="1">
    <nc r="F33">
      <f>0.261986*1000</f>
    </nc>
    <odxf>
      <alignment horizontal="general" vertical="bottom" readingOrder="0"/>
    </odxf>
    <ndxf>
      <alignment horizontal="right" vertical="top" readingOrder="0"/>
    </ndxf>
  </rcc>
</revisions>
</file>

<file path=xl/revisions/revisionLog1411.xml><?xml version="1.0" encoding="utf-8"?>
<revisions xmlns="http://schemas.openxmlformats.org/spreadsheetml/2006/main" xmlns:r="http://schemas.openxmlformats.org/officeDocument/2006/relationships">
  <rcc rId="90" sId="3">
    <oc r="F76">
      <f>0.244185*1000</f>
    </oc>
    <nc r="F76">
      <f>0.244185*1000</f>
    </nc>
  </rcc>
  <rcc rId="91" sId="1">
    <nc r="G78">
      <f>0.244049*1000</f>
    </nc>
  </rcc>
  <rcc rId="92" sId="1">
    <nc r="I78">
      <f>0.005485*1000</f>
    </nc>
  </rcc>
  <rcc rId="93" sId="2" odxf="1" dxf="1">
    <nc r="F78">
      <f>0.244049*1000</f>
    </nc>
    <odxf>
      <alignment horizontal="general" vertical="bottom" readingOrder="0"/>
    </odxf>
    <ndxf>
      <alignment horizontal="right" vertical="top" readingOrder="0"/>
    </ndxf>
  </rcc>
  <rcc rId="94" sId="2">
    <nc r="E78" t="inlineStr">
      <is>
        <t>5-44/16 от 30.12.2016</t>
      </is>
    </nc>
  </rcc>
  <rcc rId="95" sId="3">
    <nc r="E78" t="inlineStr">
      <is>
        <t>5-44/16 от 30.12.2016</t>
      </is>
    </nc>
  </rcc>
  <rcc rId="96" sId="3" odxf="1" dxf="1">
    <nc r="F78">
      <f>0.244049*1000</f>
    </nc>
    <odxf>
      <alignment horizontal="general" vertical="bottom" readingOrder="0"/>
    </odxf>
    <ndxf>
      <alignment horizontal="right" vertical="top" readingOrder="0"/>
    </ndxf>
  </rcc>
</revisions>
</file>

<file path=xl/revisions/revisionLog14111.xml><?xml version="1.0" encoding="utf-8"?>
<revisions xmlns="http://schemas.openxmlformats.org/spreadsheetml/2006/main" xmlns:r="http://schemas.openxmlformats.org/officeDocument/2006/relationships">
  <rcc rId="82" sId="3">
    <nc r="E55" t="inlineStr">
      <is>
        <t>5-49/16 от 30.12.2016</t>
      </is>
    </nc>
  </rcc>
  <rcc rId="83" sId="3" odxf="1" dxf="1">
    <nc r="F55">
      <f>0.250251*1000</f>
    </nc>
    <odxf>
      <alignment horizontal="general" vertical="bottom" readingOrder="0"/>
    </odxf>
    <ndxf>
      <alignment horizontal="right" vertical="top" readingOrder="0"/>
    </ndxf>
  </rcc>
  <rcc rId="84" sId="1">
    <nc r="G76">
      <f>0.244185*1000</f>
    </nc>
  </rcc>
  <rcc rId="85" sId="1">
    <nc r="I76">
      <f>0.006298*1000</f>
    </nc>
  </rcc>
  <rcc rId="86" sId="2" odxf="1" dxf="1">
    <nc r="F76">
      <f>0.244185*1000</f>
    </nc>
    <odxf>
      <alignment horizontal="general" vertical="bottom" readingOrder="0"/>
    </odxf>
    <ndxf>
      <alignment horizontal="right" vertical="top" readingOrder="0"/>
    </ndxf>
  </rcc>
  <rcc rId="87" sId="2">
    <nc r="E76" t="inlineStr">
      <is>
        <t>5-43/16 от 30.12.2016</t>
      </is>
    </nc>
  </rcc>
  <rcc rId="88" sId="3">
    <nc r="E76" t="inlineStr">
      <is>
        <t>5-43/16 от 30.12.2016</t>
      </is>
    </nc>
  </rcc>
  <rcc rId="89" sId="3" odxf="1" dxf="1">
    <nc r="F76">
      <f>0.244185*1000</f>
    </nc>
    <odxf>
      <alignment horizontal="general" vertical="bottom" readingOrder="0"/>
    </odxf>
    <ndxf>
      <alignment horizontal="right" vertical="top" readingOrder="0"/>
    </ndxf>
  </rcc>
</revisions>
</file>

<file path=xl/revisions/revisionLog141111.xml><?xml version="1.0" encoding="utf-8"?>
<revisions xmlns="http://schemas.openxmlformats.org/spreadsheetml/2006/main" xmlns:r="http://schemas.openxmlformats.org/officeDocument/2006/relationships">
  <rcc rId="78" sId="1">
    <nc r="G55">
      <f>0.250251*1000</f>
    </nc>
  </rcc>
  <rcc rId="79" sId="1">
    <nc r="I55">
      <f>0.005336*1000</f>
    </nc>
  </rcc>
  <rcc rId="80" sId="2" odxf="1" dxf="1">
    <nc r="F55">
      <f>0.250251*1000</f>
    </nc>
    <odxf>
      <alignment horizontal="general" vertical="bottom" readingOrder="0"/>
    </odxf>
    <ndxf>
      <alignment horizontal="right" vertical="top" readingOrder="0"/>
    </ndxf>
  </rcc>
  <rcc rId="81" sId="2">
    <nc r="E55" t="inlineStr">
      <is>
        <t>5-49/16 от 30.12.2016</t>
      </is>
    </nc>
  </rcc>
</revisions>
</file>

<file path=xl/revisions/revisionLog1411111.xml><?xml version="1.0" encoding="utf-8"?>
<revisions xmlns="http://schemas.openxmlformats.org/spreadsheetml/2006/main" xmlns:r="http://schemas.openxmlformats.org/officeDocument/2006/relationships">
  <rcc rId="72" sId="1">
    <nc r="G60">
      <f>0.163398*1000</f>
    </nc>
  </rcc>
  <rcc rId="73" sId="1">
    <nc r="I60">
      <f>0.072786*1000</f>
    </nc>
  </rcc>
  <rcc rId="74" sId="2" odxf="1" dxf="1">
    <nc r="F60">
      <f>0.163398*1000</f>
    </nc>
    <odxf>
      <alignment horizontal="general" vertical="bottom" readingOrder="0"/>
    </odxf>
    <ndxf>
      <alignment horizontal="right" vertical="top" readingOrder="0"/>
    </ndxf>
  </rcc>
  <rcc rId="75" sId="2">
    <nc r="E60" t="inlineStr">
      <is>
        <t>5-47/16 от 30.11.2016</t>
      </is>
    </nc>
  </rcc>
  <rcc rId="76" sId="3">
    <nc r="E60" t="inlineStr">
      <is>
        <t>5-47/16 от 30.11.2016</t>
      </is>
    </nc>
  </rcc>
  <rcc rId="77" sId="3" odxf="1" dxf="1">
    <nc r="F60">
      <f>0.163398*1000</f>
    </nc>
    <odxf>
      <alignment horizontal="general" vertical="bottom" readingOrder="0"/>
    </odxf>
    <ndxf>
      <alignment horizontal="right" vertical="top" readingOrder="0"/>
    </ndxf>
  </rcc>
</revisions>
</file>

<file path=xl/revisions/revisionLog15.xml><?xml version="1.0" encoding="utf-8"?>
<revisions xmlns="http://schemas.openxmlformats.org/spreadsheetml/2006/main" xmlns:r="http://schemas.openxmlformats.org/officeDocument/2006/relationships">
  <rfmt sheetId="1" sqref="A1:XFD1048576" start="0" length="2147483647">
    <dxf>
      <font>
        <name val="Times New Roman"/>
        <scheme val="none"/>
      </font>
    </dxf>
  </rfmt>
  <rfmt sheetId="2" sqref="A1:XFD1048576" start="0" length="2147483647">
    <dxf>
      <font>
        <name val="Times New Roman"/>
        <scheme val="none"/>
      </font>
    </dxf>
  </rfmt>
  <rfmt sheetId="3" sqref="A1:XFD1048576" start="0" length="2147483647">
    <dxf>
      <font>
        <name val="Times New Roman"/>
        <scheme val="none"/>
      </font>
    </dxf>
  </rfmt>
  <rcc rId="1805" sId="1">
    <oc r="E1">
      <f>E263</f>
    </oc>
    <nc r="E1"/>
  </rcc>
  <rfmt sheetId="1" sqref="B6:L6" start="0" length="0">
    <dxf>
      <border>
        <bottom style="thin">
          <color indexed="64"/>
        </bottom>
      </border>
    </dxf>
  </rfmt>
  <rfmt sheetId="1" sqref="G1:G1048576">
    <dxf>
      <alignment horizontal="center" readingOrder="0"/>
    </dxf>
  </rfmt>
  <rcv guid="{586B0D0F-AFD5-489E-A810-F5CDD42644EC}" action="delete"/>
  <rcv guid="{586B0D0F-AFD5-489E-A810-F5CDD42644EC}" action="add"/>
</revisions>
</file>

<file path=xl/revisions/revisionLog151.xml><?xml version="1.0" encoding="utf-8"?>
<revisions xmlns="http://schemas.openxmlformats.org/spreadsheetml/2006/main" xmlns:r="http://schemas.openxmlformats.org/officeDocument/2006/relationships">
  <rcc rId="1645" sId="3">
    <oc r="C201" t="inlineStr">
      <is>
        <t>Счет-фактура №</t>
      </is>
    </oc>
    <nc r="C201" t="inlineStr">
      <is>
        <t>Счет-фактура №911</t>
      </is>
    </nc>
  </rcc>
  <rcc rId="1646" sId="3">
    <nc r="D201">
      <v>5</v>
    </nc>
  </rcc>
  <rcc rId="1647" sId="3">
    <oc r="C202" t="inlineStr">
      <is>
        <t>Счет-фактура №</t>
      </is>
    </oc>
    <nc r="C202" t="inlineStr">
      <is>
        <t>Счет-фактура №916</t>
      </is>
    </nc>
  </rcc>
  <rcc rId="1648" sId="3">
    <nc r="D202">
      <v>5</v>
    </nc>
  </rcc>
  <rcc rId="1649" sId="3">
    <oc r="C203" t="inlineStr">
      <is>
        <t>Счет-фактура №</t>
      </is>
    </oc>
    <nc r="C203" t="inlineStr">
      <is>
        <t>Счет-фактура №920</t>
      </is>
    </nc>
  </rcc>
  <rcc rId="1650" sId="3">
    <nc r="D203">
      <v>5</v>
    </nc>
  </rcc>
  <rcc rId="1651" sId="3">
    <oc r="C204" t="inlineStr">
      <is>
        <t>Счет-фактура №</t>
      </is>
    </oc>
    <nc r="C204" t="inlineStr">
      <is>
        <t>Счет-фактура №921</t>
      </is>
    </nc>
  </rcc>
  <rcc rId="1652" sId="3">
    <nc r="D204">
      <v>5</v>
    </nc>
  </rcc>
  <rcc rId="1653" sId="3">
    <oc r="C205" t="inlineStr">
      <is>
        <t>Счет-фактура №</t>
      </is>
    </oc>
    <nc r="C205" t="inlineStr">
      <is>
        <t>Счет-фактура №923</t>
      </is>
    </nc>
  </rcc>
  <rcc rId="1654" sId="3">
    <nc r="D205">
      <v>5</v>
    </nc>
  </rcc>
  <rcc rId="1655" sId="3">
    <oc r="C206" t="inlineStr">
      <is>
        <t>Счет-фактура №</t>
      </is>
    </oc>
    <nc r="C206" t="inlineStr">
      <is>
        <t>Счет-фактура №926</t>
      </is>
    </nc>
  </rcc>
  <rcc rId="1656" sId="3">
    <nc r="D206">
      <v>5</v>
    </nc>
  </rcc>
  <rcc rId="1657" sId="3">
    <oc r="C207" t="inlineStr">
      <is>
        <t>Счет-фактура №</t>
      </is>
    </oc>
    <nc r="C207" t="inlineStr">
      <is>
        <t>Счет-фактура №925</t>
      </is>
    </nc>
  </rcc>
  <rcc rId="1658" sId="3">
    <nc r="D207">
      <v>5</v>
    </nc>
  </rcc>
  <rcc rId="1659" sId="3">
    <oc r="C208" t="inlineStr">
      <is>
        <t>Счет-фактура №</t>
      </is>
    </oc>
    <nc r="C208" t="inlineStr">
      <is>
        <t>Счет-фактура №929</t>
      </is>
    </nc>
  </rcc>
  <rcc rId="1660" sId="3">
    <nc r="D208">
      <v>5</v>
    </nc>
  </rcc>
  <rcc rId="1661" sId="3">
    <oc r="C209" t="inlineStr">
      <is>
        <t>Счет-фактура №</t>
      </is>
    </oc>
    <nc r="C209" t="inlineStr">
      <is>
        <t>Счет-фактура №928</t>
      </is>
    </nc>
  </rcc>
  <rcc rId="1662" sId="3">
    <nc r="D209">
      <v>5</v>
    </nc>
  </rcc>
  <rcc rId="1663" sId="3">
    <oc r="C210" t="inlineStr">
      <is>
        <t>Счет-фактура №</t>
      </is>
    </oc>
    <nc r="C210" t="inlineStr">
      <is>
        <t>Счет-фактура №927</t>
      </is>
    </nc>
  </rcc>
  <rcc rId="1664" sId="3">
    <nc r="D210">
      <v>5</v>
    </nc>
  </rcc>
  <rcc rId="1665" sId="3">
    <oc r="C211" t="inlineStr">
      <is>
        <t>Счет-фактура №</t>
      </is>
    </oc>
    <nc r="C211" t="inlineStr">
      <is>
        <t>Счет-фактура №930</t>
      </is>
    </nc>
  </rcc>
  <rcc rId="1666" sId="3">
    <nc r="D211">
      <v>5</v>
    </nc>
  </rcc>
</revisions>
</file>

<file path=xl/revisions/revisionLog1511.xml><?xml version="1.0" encoding="utf-8"?>
<revisions xmlns="http://schemas.openxmlformats.org/spreadsheetml/2006/main" xmlns:r="http://schemas.openxmlformats.org/officeDocument/2006/relationships">
  <rcc rId="140" sId="1">
    <nc r="G136">
      <f>1.26836*1000</f>
    </nc>
  </rcc>
  <rcc rId="141" sId="1">
    <nc r="I136">
      <f>0.645562*1000</f>
    </nc>
  </rcc>
  <rcc rId="142" sId="2" odxf="1" dxf="1">
    <nc r="F136">
      <f>1.26836*1000</f>
    </nc>
    <odxf>
      <alignment horizontal="general" vertical="bottom" readingOrder="0"/>
    </odxf>
    <ndxf>
      <alignment horizontal="right" vertical="top" readingOrder="0"/>
    </ndxf>
  </rcc>
  <rcc rId="143" sId="2">
    <nc r="E136" t="inlineStr">
      <is>
        <t>5-33/16 от 30.12.2016</t>
      </is>
    </nc>
  </rcc>
</revisions>
</file>

<file path=xl/revisions/revisionLog15111.xml><?xml version="1.0" encoding="utf-8"?>
<revisions xmlns="http://schemas.openxmlformats.org/spreadsheetml/2006/main" xmlns:r="http://schemas.openxmlformats.org/officeDocument/2006/relationships">
  <rcc rId="106" sId="2" odxf="1" dxf="1">
    <nc r="F24">
      <f>0.183851*1000</f>
    </nc>
    <odxf>
      <alignment horizontal="general" vertical="bottom" readingOrder="0"/>
    </odxf>
    <ndxf>
      <alignment horizontal="right" vertical="top" readingOrder="0"/>
    </ndxf>
  </rcc>
  <rcc rId="107" sId="2">
    <nc r="E24" t="inlineStr">
      <is>
        <t>5-60/16 от 30.12.2016</t>
      </is>
    </nc>
  </rcc>
  <rcc rId="108" sId="3">
    <nc r="E24" t="inlineStr">
      <is>
        <t>5-60/16 от 30.12.2016</t>
      </is>
    </nc>
  </rcc>
  <rcc rId="109" sId="3" odxf="1" dxf="1">
    <nc r="F24">
      <f>0.183851*1000</f>
    </nc>
    <odxf>
      <alignment horizontal="general" vertical="bottom" readingOrder="0"/>
    </odxf>
    <ndxf>
      <alignment horizontal="right" vertical="top" readingOrder="0"/>
    </ndxf>
  </rcc>
  <rcc rId="110" sId="1">
    <nc r="G32">
      <f>0.269521*1000</f>
    </nc>
  </rcc>
  <rcc rId="111" sId="1">
    <nc r="I32">
      <f>0.137004*1000</f>
    </nc>
  </rcc>
  <rcc rId="112" sId="2" odxf="1" dxf="1">
    <nc r="F32">
      <f>0.269521*1000</f>
    </nc>
    <odxf>
      <alignment horizontal="general" vertical="bottom" readingOrder="0"/>
    </odxf>
    <ndxf>
      <alignment horizontal="right" vertical="top" readingOrder="0"/>
    </ndxf>
  </rcc>
  <rcc rId="113" sId="2">
    <nc r="E32" t="inlineStr">
      <is>
        <t>5-55/16 от 30.12.2016</t>
      </is>
    </nc>
  </rcc>
  <rcc rId="114" sId="3">
    <nc r="E32" t="inlineStr">
      <is>
        <t>5-55/16 от 30.12.2016</t>
      </is>
    </nc>
  </rcc>
  <rcc rId="115" sId="3" odxf="1" dxf="1">
    <nc r="F32">
      <f>0.269521*1000</f>
    </nc>
    <odxf>
      <alignment horizontal="general" vertical="bottom" readingOrder="0"/>
    </odxf>
    <ndxf>
      <alignment horizontal="right" vertical="top" readingOrder="0"/>
    </ndxf>
  </rcc>
</revisions>
</file>

<file path=xl/revisions/revisionLog151111.xml><?xml version="1.0" encoding="utf-8"?>
<revisions xmlns="http://schemas.openxmlformats.org/spreadsheetml/2006/main" xmlns:r="http://schemas.openxmlformats.org/officeDocument/2006/relationships">
  <rcc rId="103" sId="1">
    <nc r="G24">
      <f>0.183851*1000</f>
    </nc>
  </rcc>
  <rcc rId="104" sId="1">
    <nc r="I24">
      <f>0.055328*1000</f>
    </nc>
  </rcc>
  <rcc rId="105" sId="1">
    <nc r="A24" t="inlineStr">
      <is>
        <t>!</t>
      </is>
    </nc>
  </rcc>
</revisions>
</file>

<file path=xl/revisions/revisionLog1512.xml><?xml version="1.0" encoding="utf-8"?>
<revisions xmlns="http://schemas.openxmlformats.org/spreadsheetml/2006/main" xmlns:r="http://schemas.openxmlformats.org/officeDocument/2006/relationships">
  <rcc rId="1589" sId="3">
    <oc r="C146" t="inlineStr">
      <is>
        <t>Счет-фактура №</t>
      </is>
    </oc>
    <nc r="C146" t="inlineStr">
      <is>
        <t>Счет-фактура №772</t>
      </is>
    </nc>
  </rcc>
  <rcc rId="1590" sId="3">
    <nc r="D146">
      <v>8</v>
    </nc>
  </rcc>
  <rcc rId="1591" sId="3">
    <oc r="C147" t="inlineStr">
      <is>
        <t>Счет-фактура №</t>
      </is>
    </oc>
    <nc r="C147" t="inlineStr">
      <is>
        <t>Счет-фактура №773</t>
      </is>
    </nc>
  </rcc>
  <rcc rId="1592" sId="3">
    <nc r="D147">
      <v>5</v>
    </nc>
  </rcc>
  <rcc rId="1593" sId="3">
    <oc r="C148" t="inlineStr">
      <is>
        <t>Счет-фактура №</t>
      </is>
    </oc>
    <nc r="C148" t="inlineStr">
      <is>
        <t>Счет-фактура №775</t>
      </is>
    </nc>
  </rcc>
  <rcc rId="1594" sId="3">
    <nc r="D148">
      <v>9</v>
    </nc>
  </rcc>
  <rcc rId="1595" sId="3">
    <oc r="C149" t="inlineStr">
      <is>
        <t>Счет-фактура №</t>
      </is>
    </oc>
    <nc r="C149" t="inlineStr">
      <is>
        <t>Счет-фактура №777</t>
      </is>
    </nc>
  </rcc>
  <rcc rId="1596" sId="3">
    <nc r="D149">
      <v>4</v>
    </nc>
  </rcc>
  <rcc rId="1597" sId="3">
    <oc r="C150" t="inlineStr">
      <is>
        <t>Счет-фактура №</t>
      </is>
    </oc>
    <nc r="C150" t="inlineStr">
      <is>
        <t>Счет-фактура №778</t>
      </is>
    </nc>
  </rcc>
  <rcc rId="1598" sId="3">
    <nc r="D150">
      <v>9</v>
    </nc>
  </rcc>
  <rcc rId="1599" sId="3">
    <oc r="C151" t="inlineStr">
      <is>
        <t>Счет-фактура №</t>
      </is>
    </oc>
    <nc r="C151" t="inlineStr">
      <is>
        <t>Счет-фактура №779</t>
      </is>
    </nc>
  </rcc>
  <rcc rId="1600" sId="3">
    <nc r="D151">
      <v>4</v>
    </nc>
  </rcc>
  <rcc rId="1601" sId="3">
    <oc r="C152" t="inlineStr">
      <is>
        <t>Счет-фактура №</t>
      </is>
    </oc>
    <nc r="C152" t="inlineStr">
      <is>
        <t>Счет-фактура №780</t>
      </is>
    </nc>
  </rcc>
  <rcc rId="1602" sId="3">
    <nc r="D152">
      <v>8</v>
    </nc>
  </rcc>
  <rcc rId="1603" sId="3">
    <oc r="C153" t="inlineStr">
      <is>
        <t>Счет-фактура №</t>
      </is>
    </oc>
    <nc r="C153" t="inlineStr">
      <is>
        <t>Счет-фактура №781</t>
      </is>
    </nc>
  </rcc>
  <rcc rId="1604" sId="3">
    <nc r="D153">
      <v>4</v>
    </nc>
  </rcc>
  <rcc rId="1605" sId="3">
    <oc r="C154" t="inlineStr">
      <is>
        <t>Счет-фактура №</t>
      </is>
    </oc>
    <nc r="C154" t="inlineStr">
      <is>
        <t>Счет-фактура №782</t>
      </is>
    </nc>
  </rcc>
  <rcc rId="1606" sId="3">
    <nc r="D154">
      <v>8</v>
    </nc>
  </rcc>
  <rcc rId="1607" sId="3">
    <oc r="C156" t="inlineStr">
      <is>
        <t>Счет-фактура №</t>
      </is>
    </oc>
    <nc r="C156" t="inlineStr">
      <is>
        <t>Счет-фактура №784</t>
      </is>
    </nc>
  </rcc>
  <rcc rId="1608" sId="3">
    <nc r="D156">
      <v>4</v>
    </nc>
  </rcc>
  <rcc rId="1609" sId="3">
    <oc r="C157" t="inlineStr">
      <is>
        <t>Счет-фактура №</t>
      </is>
    </oc>
    <nc r="C157" t="inlineStr">
      <is>
        <t>Счет-фактура №785</t>
      </is>
    </nc>
  </rcc>
  <rcc rId="1610" sId="3">
    <nc r="D157">
      <v>8</v>
    </nc>
  </rcc>
  <rcc rId="1611" sId="3">
    <oc r="C158" t="inlineStr">
      <is>
        <t>Счет-фактура №</t>
      </is>
    </oc>
    <nc r="C158" t="inlineStr">
      <is>
        <t>Счет-фактура №786</t>
      </is>
    </nc>
  </rcc>
  <rcc rId="1612" sId="3">
    <nc r="D158">
      <v>8</v>
    </nc>
  </rcc>
  <rcc rId="1613" sId="3">
    <oc r="C161" t="inlineStr">
      <is>
        <t>Счет-фактура №</t>
      </is>
    </oc>
    <nc r="C161" t="inlineStr">
      <is>
        <t>Счет-фактура №789</t>
      </is>
    </nc>
  </rcc>
  <rcc rId="1614" sId="3">
    <nc r="D161">
      <v>4</v>
    </nc>
  </rcc>
</revisions>
</file>

<file path=xl/revisions/revisionLog15121.xml><?xml version="1.0" encoding="utf-8"?>
<revisions xmlns="http://schemas.openxmlformats.org/spreadsheetml/2006/main" xmlns:r="http://schemas.openxmlformats.org/officeDocument/2006/relationships">
  <rcc rId="712" sId="1">
    <nc r="G185">
      <f>0.131415*1000</f>
    </nc>
  </rcc>
  <rcc rId="713" sId="1">
    <nc r="I185">
      <f>0.020602*1000</f>
    </nc>
  </rcc>
  <rcc rId="714" sId="2" odxf="1" dxf="1">
    <nc r="F188">
      <f>0.131415*1000</f>
    </nc>
    <odxf>
      <alignment horizontal="general" vertical="bottom" readingOrder="0"/>
    </odxf>
    <ndxf>
      <alignment horizontal="right" vertical="top" readingOrder="0"/>
    </ndxf>
  </rcc>
  <rcc rId="715" sId="2">
    <nc r="E188" t="inlineStr">
      <is>
        <t>5-129/16 от 30.12.2016</t>
      </is>
    </nc>
  </rcc>
  <rcc rId="716" sId="3">
    <nc r="E187" t="inlineStr">
      <is>
        <t>5-129/16 от 30.12.2016</t>
      </is>
    </nc>
  </rcc>
  <rcc rId="717" sId="3" odxf="1" dxf="1">
    <nc r="F187">
      <f>0.131415*1000</f>
    </nc>
    <odxf>
      <alignment horizontal="general" vertical="bottom" readingOrder="0"/>
    </odxf>
    <ndxf>
      <alignment horizontal="right" vertical="top" readingOrder="0"/>
    </ndxf>
  </rcc>
  <rcc rId="718" sId="1">
    <nc r="G186">
      <f>0.265015*1000</f>
    </nc>
  </rcc>
  <rcc rId="719" sId="1">
    <nc r="I186">
      <f>0.055465*1000</f>
    </nc>
  </rcc>
  <rcc rId="720" sId="2" odxf="1" dxf="1">
    <nc r="F189">
      <f>0.265015*1000</f>
    </nc>
    <odxf>
      <alignment horizontal="general" vertical="bottom" readingOrder="0"/>
    </odxf>
    <ndxf>
      <alignment horizontal="right" vertical="top" readingOrder="0"/>
    </ndxf>
  </rcc>
  <rcc rId="721" sId="2">
    <nc r="E189" t="inlineStr">
      <is>
        <t>5-128/16 от 30.12.2016</t>
      </is>
    </nc>
  </rcc>
  <rcc rId="722" sId="3">
    <nc r="E188" t="inlineStr">
      <is>
        <t>5-128/16 от 30.12.2016</t>
      </is>
    </nc>
  </rcc>
  <rcc rId="723" sId="3" odxf="1" dxf="1">
    <nc r="F188">
      <f>0.265015*1000</f>
    </nc>
    <odxf>
      <alignment horizontal="general" vertical="bottom" readingOrder="0"/>
    </odxf>
    <ndxf>
      <alignment horizontal="right" vertical="top" readingOrder="0"/>
    </ndxf>
  </rcc>
  <rcv guid="{586B0D0F-AFD5-489E-A810-F5CDD42644EC}" action="delete"/>
  <rcv guid="{586B0D0F-AFD5-489E-A810-F5CDD42644EC}" action="add"/>
</revisions>
</file>

<file path=xl/revisions/revisionLog151211.xml><?xml version="1.0" encoding="utf-8"?>
<revisions xmlns="http://schemas.openxmlformats.org/spreadsheetml/2006/main" xmlns:r="http://schemas.openxmlformats.org/officeDocument/2006/relationships">
  <rcc rId="188" sId="1">
    <nc r="G164">
      <f>0.299942*1000</f>
    </nc>
  </rcc>
  <rcc rId="189" sId="1">
    <nc r="I164">
      <f>0.136318*1000</f>
    </nc>
  </rcc>
  <rcc rId="190" sId="2" odxf="1" dxf="1">
    <nc r="F164">
      <f>0.299942*1000</f>
    </nc>
    <odxf>
      <alignment horizontal="general" vertical="bottom" readingOrder="0"/>
    </odxf>
    <ndxf>
      <alignment horizontal="right" vertical="top" readingOrder="0"/>
    </ndxf>
  </rcc>
  <rcc rId="191" sId="2">
    <nc r="E164" t="inlineStr">
      <is>
        <t>3-115/16 от 30.12.2016</t>
      </is>
    </nc>
  </rcc>
  <rcc rId="192" sId="3">
    <nc r="E164" t="inlineStr">
      <is>
        <t>3-115/16 от 30.12.2016</t>
      </is>
    </nc>
  </rcc>
  <rcc rId="193" sId="3" odxf="1" dxf="1">
    <nc r="F164">
      <f>0.299942*1000</f>
    </nc>
    <odxf>
      <alignment horizontal="general" vertical="bottom" readingOrder="0"/>
    </odxf>
    <ndxf>
      <alignment horizontal="right" vertical="top" readingOrder="0"/>
    </ndxf>
  </rcc>
</revisions>
</file>

<file path=xl/revisions/revisionLog152.xml><?xml version="1.0" encoding="utf-8"?>
<revisions xmlns="http://schemas.openxmlformats.org/spreadsheetml/2006/main" xmlns:r="http://schemas.openxmlformats.org/officeDocument/2006/relationships">
  <rcc rId="1804" sId="1">
    <oc r="G11">
      <f>0.95727*1000</f>
    </oc>
    <nc r="G11">
      <f>0.095727*1000</f>
    </nc>
  </rcc>
  <rcv guid="{586B0D0F-AFD5-489E-A810-F5CDD42644EC}" action="delete"/>
  <rcv guid="{586B0D0F-AFD5-489E-A810-F5CDD42644EC}" action="add"/>
</revisions>
</file>

<file path=xl/revisions/revisionLog1521.xml><?xml version="1.0" encoding="utf-8"?>
<revisions xmlns="http://schemas.openxmlformats.org/spreadsheetml/2006/main" xmlns:r="http://schemas.openxmlformats.org/officeDocument/2006/relationships">
  <rfmt sheetId="1" sqref="G183">
    <dxf>
      <fill>
        <patternFill>
          <bgColor theme="0"/>
        </patternFill>
      </fill>
    </dxf>
  </rfmt>
  <rfmt sheetId="1" sqref="G248">
    <dxf>
      <fill>
        <patternFill>
          <bgColor theme="0"/>
        </patternFill>
      </fill>
    </dxf>
  </rfmt>
  <rcc rId="1800" sId="2">
    <oc r="F251">
      <f>0.096281*1000</f>
    </oc>
    <nc r="F251">
      <f>0.110307*1000</f>
    </nc>
  </rcc>
  <rcc rId="1801" sId="3">
    <oc r="F250">
      <f>0.096281*1000</f>
    </oc>
    <nc r="F250">
      <f>0.110307*1000</f>
    </nc>
  </rcc>
  <rcv guid="{586B0D0F-AFD5-489E-A810-F5CDD42644EC}" action="delete"/>
  <rcv guid="{586B0D0F-AFD5-489E-A810-F5CDD42644EC}" action="add"/>
</revisions>
</file>

<file path=xl/revisions/revisionLog15211.xml><?xml version="1.0" encoding="utf-8"?>
<revisions xmlns="http://schemas.openxmlformats.org/spreadsheetml/2006/main" xmlns:r="http://schemas.openxmlformats.org/officeDocument/2006/relationships">
  <rfmt sheetId="1" sqref="G64">
    <dxf>
      <fill>
        <patternFill>
          <bgColor theme="0"/>
        </patternFill>
      </fill>
    </dxf>
  </rfmt>
  <rcc rId="1795" sId="2">
    <oc r="F84">
      <f>0.040114*1000</f>
    </oc>
    <nc r="F84">
      <f>0.042307*1000</f>
    </nc>
  </rcc>
  <rcc rId="1796" sId="3">
    <oc r="F84">
      <f>0.040114*1000</f>
    </oc>
    <nc r="F84">
      <f>0.042307*1000</f>
    </nc>
  </rcc>
  <rfmt sheetId="1" sqref="G84">
    <dxf>
      <fill>
        <patternFill>
          <bgColor theme="0"/>
        </patternFill>
      </fill>
    </dxf>
  </rfmt>
  <rcv guid="{586B0D0F-AFD5-489E-A810-F5CDD42644EC}" action="delete"/>
  <rcv guid="{586B0D0F-AFD5-489E-A810-F5CDD42644EC}" action="add"/>
</revisions>
</file>

<file path=xl/revisions/revisionLog152111.xml><?xml version="1.0" encoding="utf-8"?>
<revisions xmlns="http://schemas.openxmlformats.org/spreadsheetml/2006/main" xmlns:r="http://schemas.openxmlformats.org/officeDocument/2006/relationships">
  <rcc rId="224" sId="1">
    <nc r="G170">
      <f>0.245007*1000</f>
    </nc>
  </rcc>
  <rcc rId="225" sId="1">
    <nc r="I170">
      <f>0.112975*1000</f>
    </nc>
  </rcc>
  <rcc rId="226" sId="2" odxf="1" dxf="1">
    <nc r="F170">
      <f>0.245007*1000</f>
    </nc>
    <odxf>
      <alignment horizontal="general" vertical="bottom" readingOrder="0"/>
    </odxf>
    <ndxf>
      <alignment horizontal="right" vertical="top" readingOrder="0"/>
    </ndxf>
  </rcc>
  <rcc rId="227" sId="2">
    <nc r="E170" t="inlineStr">
      <is>
        <t>3-121/16 от 30.12.2016</t>
      </is>
    </nc>
  </rcc>
  <rcc rId="228" sId="3">
    <nc r="E170" t="inlineStr">
      <is>
        <t>3-121/16 от 30.12.2016</t>
      </is>
    </nc>
  </rcc>
  <rcc rId="229" sId="3" odxf="1" dxf="1">
    <nc r="F170">
      <f>0.245007*1000</f>
    </nc>
    <odxf>
      <alignment horizontal="general" vertical="bottom" readingOrder="0"/>
    </odxf>
    <ndxf>
      <alignment horizontal="right" vertical="top" readingOrder="0"/>
    </ndxf>
  </rcc>
</revisions>
</file>

<file path=xl/revisions/revisionLog153.xml><?xml version="1.0" encoding="utf-8"?>
<revisions xmlns="http://schemas.openxmlformats.org/spreadsheetml/2006/main" xmlns:r="http://schemas.openxmlformats.org/officeDocument/2006/relationships">
  <rcc rId="1687" sId="3">
    <oc r="C222" t="inlineStr">
      <is>
        <t>Счет-фактура №</t>
      </is>
    </oc>
    <nc r="C222" t="inlineStr">
      <is>
        <t>Счет-фактура №960</t>
      </is>
    </nc>
  </rcc>
  <rcc rId="1688" sId="3">
    <nc r="D222">
      <v>5</v>
    </nc>
  </rcc>
  <rcc rId="1689" sId="3">
    <oc r="C223" t="inlineStr">
      <is>
        <t>Счет-фактура №</t>
      </is>
    </oc>
    <nc r="C223" t="inlineStr">
      <is>
        <t>Счет-фактура №922</t>
      </is>
    </nc>
  </rcc>
  <rcc rId="1690" sId="3">
    <nc r="D223">
      <v>5</v>
    </nc>
  </rcc>
  <rcc rId="1691" sId="3">
    <oc r="C224" t="inlineStr">
      <is>
        <t>Счет-фактура №</t>
      </is>
    </oc>
    <nc r="C224" t="inlineStr">
      <is>
        <t>Счет-фактура №943</t>
      </is>
    </nc>
  </rcc>
  <rcc rId="1692" sId="3">
    <nc r="D224">
      <v>5</v>
    </nc>
  </rcc>
  <rcc rId="1693" sId="3">
    <oc r="C225" t="inlineStr">
      <is>
        <t>Счет-фактура №</t>
      </is>
    </oc>
    <nc r="C225" t="inlineStr">
      <is>
        <t>Счет-фактура №944</t>
      </is>
    </nc>
  </rcc>
  <rcc rId="1694" sId="3">
    <nc r="D225">
      <v>5</v>
    </nc>
  </rcc>
  <rcc rId="1695" sId="3">
    <oc r="C226" t="inlineStr">
      <is>
        <t>Счет-фактура №</t>
      </is>
    </oc>
    <nc r="C226" t="inlineStr">
      <is>
        <t>Счет-фактура №931</t>
      </is>
    </nc>
  </rcc>
  <rcc rId="1696" sId="3">
    <nc r="D226">
      <v>5</v>
    </nc>
  </rcc>
  <rcc rId="1697" sId="3">
    <oc r="C227" t="inlineStr">
      <is>
        <t>Счет-фактура №</t>
      </is>
    </oc>
    <nc r="C227" t="inlineStr">
      <is>
        <t>Счет-фактура №939</t>
      </is>
    </nc>
  </rcc>
  <rcc rId="1698" sId="3">
    <nc r="D227">
      <v>5</v>
    </nc>
  </rcc>
  <rcc rId="1699" sId="3">
    <oc r="C228" t="inlineStr">
      <is>
        <t>Счет-фактура №</t>
      </is>
    </oc>
    <nc r="C228" t="inlineStr">
      <is>
        <t>Счет-фактура №946</t>
      </is>
    </nc>
  </rcc>
  <rcc rId="1700" sId="3">
    <nc r="D228">
      <v>5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>
  <rcc rId="242" sId="1">
    <nc r="G70">
      <f>0.259095*1000</f>
    </nc>
  </rcc>
  <rcc rId="243" sId="1">
    <nc r="I70">
      <f>0.127313*1000</f>
    </nc>
  </rcc>
  <rcc rId="244" sId="2" odxf="1" dxf="1">
    <nc r="F70">
      <f>0.259095*1000</f>
    </nc>
    <odxf>
      <alignment horizontal="general" vertical="bottom" readingOrder="0"/>
    </odxf>
    <ndxf>
      <alignment horizontal="right" vertical="top" readingOrder="0"/>
    </ndxf>
  </rcc>
  <rcc rId="245" sId="2">
    <nc r="E70" t="inlineStr">
      <is>
        <t>5-50/16 от 30.12.2016</t>
      </is>
    </nc>
  </rcc>
</revisions>
</file>

<file path=xl/revisions/revisionLog161.xml><?xml version="1.0" encoding="utf-8"?>
<revisions xmlns="http://schemas.openxmlformats.org/spreadsheetml/2006/main" xmlns:r="http://schemas.openxmlformats.org/officeDocument/2006/relationships">
  <rcc rId="182" sId="1">
    <nc r="G158">
      <f>0.243869*1000</f>
    </nc>
  </rcc>
  <rcc rId="183" sId="1">
    <nc r="I158">
      <f>0.109576*1000</f>
    </nc>
  </rcc>
  <rcc rId="184" sId="2" odxf="1" dxf="1">
    <nc r="F158">
      <f>0.243869*1000</f>
    </nc>
    <odxf>
      <alignment horizontal="general" vertical="bottom" readingOrder="0"/>
    </odxf>
    <ndxf>
      <alignment horizontal="right" vertical="top" readingOrder="0"/>
    </ndxf>
  </rcc>
  <rcc rId="185" sId="2">
    <nc r="E158" t="inlineStr">
      <is>
        <t>5-63/16 от 30.12.2016</t>
      </is>
    </nc>
  </rcc>
  <rcc rId="186" sId="3">
    <nc r="E158" t="inlineStr">
      <is>
        <t>5-63/16 от 30.12.2016</t>
      </is>
    </nc>
  </rcc>
  <rcc rId="187" sId="3" odxf="1" dxf="1">
    <nc r="F158">
      <f>0.243869*1000</f>
    </nc>
    <odxf>
      <alignment horizontal="general" vertical="bottom" readingOrder="0"/>
    </odxf>
    <ndxf>
      <alignment horizontal="right" vertical="top" readingOrder="0"/>
    </ndxf>
  </rcc>
</revisions>
</file>

<file path=xl/revisions/revisionLog1611.xml><?xml version="1.0" encoding="utf-8"?>
<revisions xmlns="http://schemas.openxmlformats.org/spreadsheetml/2006/main" xmlns:r="http://schemas.openxmlformats.org/officeDocument/2006/relationships">
  <rcc rId="158" sId="1">
    <nc r="G150">
      <f>0.189737*1000</f>
    </nc>
  </rcc>
  <rcc rId="159" sId="1">
    <nc r="I150">
      <f>0.077033*1000</f>
    </nc>
  </rcc>
  <rcc rId="160" sId="2" odxf="1" dxf="1">
    <nc r="F150">
      <f>0.189737*1000</f>
    </nc>
    <odxf>
      <alignment horizontal="general" vertical="bottom" readingOrder="0"/>
    </odxf>
    <ndxf>
      <alignment horizontal="right" vertical="top" readingOrder="0"/>
    </ndxf>
  </rcc>
  <rcc rId="161" sId="2">
    <nc r="E150" t="inlineStr">
      <is>
        <t>5-58/16 от 30.12.2016</t>
      </is>
    </nc>
  </rcc>
  <rcc rId="162" sId="3">
    <nc r="E150" t="inlineStr">
      <is>
        <t>5-58/16 от 30.12.2016</t>
      </is>
    </nc>
  </rcc>
  <rcc rId="163" sId="3" odxf="1" dxf="1">
    <nc r="F150">
      <f>0.189737*1000</f>
    </nc>
    <odxf>
      <alignment horizontal="general" vertical="bottom" readingOrder="0"/>
    </odxf>
    <ndxf>
      <alignment horizontal="right" vertical="top" readingOrder="0"/>
    </ndxf>
  </rcc>
</revisions>
</file>

<file path=xl/revisions/revisionLog16111.xml><?xml version="1.0" encoding="utf-8"?>
<revisions xmlns="http://schemas.openxmlformats.org/spreadsheetml/2006/main" xmlns:r="http://schemas.openxmlformats.org/officeDocument/2006/relationships">
  <rcc rId="134" sId="1">
    <nc r="G144">
      <f>0.233449*1000</f>
    </nc>
  </rcc>
  <rcc rId="135" sId="1">
    <nc r="I144">
      <f>0.106051*1000</f>
    </nc>
  </rcc>
  <rcc rId="136" sId="2" odxf="1" dxf="1">
    <nc r="F144">
      <f>0.233449*1000</f>
    </nc>
    <odxf>
      <alignment horizontal="general" vertical="bottom" readingOrder="0"/>
    </odxf>
    <ndxf>
      <alignment horizontal="right" vertical="top" readingOrder="0"/>
    </ndxf>
  </rcc>
  <rcc rId="137" sId="2">
    <nc r="E144" t="inlineStr">
      <is>
        <t>5-96/16 от 30.12.2016</t>
      </is>
    </nc>
  </rcc>
  <rcc rId="138" sId="3">
    <nc r="E144" t="inlineStr">
      <is>
        <t>5-96/16 от 30.12.2016</t>
      </is>
    </nc>
  </rcc>
  <rcc rId="139" sId="3" odxf="1" dxf="1">
    <nc r="F144">
      <f>0.233449*1000</f>
    </nc>
    <odxf>
      <alignment horizontal="general" vertical="bottom" readingOrder="0"/>
    </odxf>
    <ndxf>
      <alignment horizontal="right" vertical="top" readingOrder="0"/>
    </ndxf>
  </rcc>
</revisions>
</file>

<file path=xl/revisions/revisionLog161111.xml><?xml version="1.0" encoding="utf-8"?>
<revisions xmlns="http://schemas.openxmlformats.org/spreadsheetml/2006/main" xmlns:r="http://schemas.openxmlformats.org/officeDocument/2006/relationships">
  <rcc rId="128" sId="1">
    <nc r="G142">
      <f>0.317896*1000</f>
    </nc>
  </rcc>
  <rcc rId="129" sId="1">
    <nc r="I142">
      <f>0.119315*1000</f>
    </nc>
  </rcc>
  <rcc rId="130" sId="2" odxf="1" dxf="1">
    <nc r="F142">
      <f>0.317896*1000</f>
    </nc>
    <odxf>
      <alignment horizontal="general" vertical="bottom" readingOrder="0"/>
    </odxf>
    <ndxf>
      <alignment horizontal="right" vertical="top" readingOrder="0"/>
    </ndxf>
  </rcc>
  <rcc rId="131" sId="2">
    <nc r="E142" t="inlineStr">
      <is>
        <t>5-70/16 от 30.12.2016</t>
      </is>
    </nc>
  </rcc>
  <rcc rId="132" sId="3">
    <nc r="E142" t="inlineStr">
      <is>
        <t>5-70/16 от 30.12.2016</t>
      </is>
    </nc>
  </rcc>
  <rcc rId="133" sId="3" odxf="1" dxf="1">
    <nc r="F142">
      <f>0.317896*1000</f>
    </nc>
    <odxf>
      <alignment horizontal="general" vertical="bottom" readingOrder="0"/>
    </odxf>
    <ndxf>
      <alignment horizontal="right" vertical="top" readingOrder="0"/>
    </ndxf>
  </rcc>
</revisions>
</file>

<file path=xl/revisions/revisionLog1611111.xml><?xml version="1.0" encoding="utf-8"?>
<revisions xmlns="http://schemas.openxmlformats.org/spreadsheetml/2006/main" xmlns:r="http://schemas.openxmlformats.org/officeDocument/2006/relationships">
  <rcc rId="122" sId="1">
    <nc r="G120">
      <f>0.258629*1000</f>
    </nc>
  </rcc>
  <rcc rId="123" sId="1">
    <nc r="I120">
      <f>0.110576*1000</f>
    </nc>
  </rcc>
  <rcc rId="124" sId="2" odxf="1" dxf="1">
    <nc r="F120">
      <f>0.258629*1000</f>
    </nc>
    <odxf>
      <alignment horizontal="general" vertical="bottom" readingOrder="0"/>
    </odxf>
    <ndxf>
      <alignment horizontal="right" vertical="top" readingOrder="0"/>
    </ndxf>
  </rcc>
  <rcc rId="125" sId="2">
    <nc r="E120" t="inlineStr">
      <is>
        <t>5-62/16 от 30.12.2016</t>
      </is>
    </nc>
  </rcc>
  <rcc rId="126" sId="3">
    <nc r="E120" t="inlineStr">
      <is>
        <t>5-62/16 от 30.12.2016</t>
      </is>
    </nc>
  </rcc>
  <rcc rId="127" sId="3" odxf="1" dxf="1">
    <nc r="F120">
      <f>0.258629*1000</f>
    </nc>
    <odxf>
      <alignment horizontal="general" vertical="bottom" readingOrder="0"/>
    </odxf>
    <ndxf>
      <alignment horizontal="right" vertical="top" readingOrder="0"/>
    </ndxf>
  </rcc>
</revisions>
</file>

<file path=xl/revisions/revisionLog17.xml><?xml version="1.0" encoding="utf-8"?>
<revisions xmlns="http://schemas.openxmlformats.org/spreadsheetml/2006/main" xmlns:r="http://schemas.openxmlformats.org/officeDocument/2006/relationships">
  <rcc rId="272" sId="1">
    <nc r="G91">
      <f>0.240365*1000</f>
    </nc>
  </rcc>
  <rcc rId="273" sId="1">
    <nc r="I91">
      <f>0.069713*1000</f>
    </nc>
  </rcc>
  <rcc rId="274" sId="2" odxf="1" dxf="1">
    <nc r="F91">
      <f>0.240365*1000</f>
    </nc>
    <odxf>
      <alignment horizontal="general" vertical="bottom" readingOrder="0"/>
    </odxf>
    <ndxf>
      <alignment horizontal="right" vertical="top" readingOrder="0"/>
    </ndxf>
  </rcc>
  <rcc rId="275" sId="2">
    <nc r="E91" t="inlineStr">
      <is>
        <t>5-28/16 от 30.12.2016</t>
      </is>
    </nc>
  </rcc>
  <rcc rId="276" sId="3">
    <nc r="E91" t="inlineStr">
      <is>
        <t>5-28/16 от 30.12.2016</t>
      </is>
    </nc>
  </rcc>
  <rcc rId="277" sId="3" odxf="1" dxf="1">
    <nc r="F91">
      <f>0.240365*1000</f>
    </nc>
    <odxf>
      <alignment horizontal="general" vertical="bottom" readingOrder="0"/>
    </odxf>
    <ndxf>
      <alignment horizontal="right" vertical="top" readingOrder="0"/>
    </ndxf>
  </rcc>
</revisions>
</file>

<file path=xl/revisions/revisionLog171.xml><?xml version="1.0" encoding="utf-8"?>
<revisions xmlns="http://schemas.openxmlformats.org/spreadsheetml/2006/main" xmlns:r="http://schemas.openxmlformats.org/officeDocument/2006/relationships">
  <rcc rId="218" sId="1">
    <nc r="G169">
      <f>0.232951*1000</f>
    </nc>
  </rcc>
  <rcc rId="219" sId="1">
    <nc r="I169">
      <f>0.110622*1000</f>
    </nc>
  </rcc>
  <rcc rId="220" sId="2" odxf="1" dxf="1">
    <nc r="F169">
      <f>0.232951*1000</f>
    </nc>
    <odxf>
      <alignment horizontal="general" vertical="bottom" readingOrder="0"/>
    </odxf>
    <ndxf>
      <alignment horizontal="right" vertical="top" readingOrder="0"/>
    </ndxf>
  </rcc>
  <rcc rId="221" sId="2">
    <nc r="E169" t="inlineStr">
      <is>
        <t>3-120/16 от 30.12.2016</t>
      </is>
    </nc>
  </rcc>
  <rcc rId="222" sId="3">
    <nc r="E169" t="inlineStr">
      <is>
        <t>3-120/16 от 30.12.2016</t>
      </is>
    </nc>
  </rcc>
  <rcc rId="223" sId="3" odxf="1" dxf="1">
    <nc r="F169">
      <f>0.232951*1000</f>
    </nc>
    <odxf>
      <alignment horizontal="general" vertical="bottom" readingOrder="0"/>
    </odxf>
    <ndxf>
      <alignment horizontal="right" vertical="top" readingOrder="0"/>
    </ndxf>
  </rcc>
</revisions>
</file>

<file path=xl/revisions/revisionLog1711.xml><?xml version="1.0" encoding="utf-8"?>
<revisions xmlns="http://schemas.openxmlformats.org/spreadsheetml/2006/main" xmlns:r="http://schemas.openxmlformats.org/officeDocument/2006/relationships">
  <rcc rId="176" sId="1">
    <nc r="G157">
      <f>0.246234*1000</f>
    </nc>
  </rcc>
  <rcc rId="177" sId="1">
    <nc r="I157">
      <f>0.113706*1000</f>
    </nc>
  </rcc>
  <rcc rId="178" sId="2" odxf="1" dxf="1">
    <nc r="F157">
      <f>0.246234*1000</f>
    </nc>
    <odxf>
      <alignment horizontal="general" vertical="bottom" readingOrder="0"/>
    </odxf>
    <ndxf>
      <alignment horizontal="right" vertical="top" readingOrder="0"/>
    </ndxf>
  </rcc>
  <rcc rId="179" sId="2">
    <nc r="E157" t="inlineStr">
      <is>
        <t>5-64/16 от 30.12.2016</t>
      </is>
    </nc>
  </rcc>
  <rcc rId="180" sId="3">
    <nc r="E157" t="inlineStr">
      <is>
        <t>5-64/16 от 30.12.2016</t>
      </is>
    </nc>
  </rcc>
  <rcc rId="181" sId="3" odxf="1" dxf="1">
    <nc r="F157">
      <f>0.246234*1000</f>
    </nc>
    <odxf>
      <alignment horizontal="general" vertical="bottom" readingOrder="0"/>
    </odxf>
    <ndxf>
      <alignment horizontal="right" vertical="top" readingOrder="0"/>
    </ndxf>
  </rcc>
</revisions>
</file>

<file path=xl/revisions/revisionLog17111.xml><?xml version="1.0" encoding="utf-8"?>
<revisions xmlns="http://schemas.openxmlformats.org/spreadsheetml/2006/main" xmlns:r="http://schemas.openxmlformats.org/officeDocument/2006/relationships">
  <rcc rId="152" sId="1">
    <nc r="G148">
      <f>0.194692*1000</f>
    </nc>
  </rcc>
  <rcc rId="153" sId="1">
    <nc r="I148">
      <f>0.071964*1000</f>
    </nc>
  </rcc>
  <rcc rId="154" sId="2" odxf="1" dxf="1">
    <nc r="F148">
      <f>0.194692*1000</f>
    </nc>
    <odxf>
      <alignment horizontal="general" vertical="bottom" readingOrder="0"/>
    </odxf>
    <ndxf>
      <alignment horizontal="right" vertical="top" readingOrder="0"/>
    </ndxf>
  </rcc>
  <rcc rId="155" sId="2">
    <nc r="E148" t="inlineStr">
      <is>
        <t>5-88/16 от 30.12.2016</t>
      </is>
    </nc>
  </rcc>
  <rcc rId="156" sId="3">
    <nc r="E148" t="inlineStr">
      <is>
        <t>5-88/16 от 30.12.2016</t>
      </is>
    </nc>
  </rcc>
  <rcc rId="157" sId="3" odxf="1" dxf="1">
    <nc r="F148">
      <f>0.194692*1000</f>
    </nc>
    <odxf>
      <alignment horizontal="general" vertical="bottom" readingOrder="0"/>
    </odxf>
    <ndxf>
      <alignment horizontal="right" vertical="top" readingOrder="0"/>
    </ndxf>
  </rcc>
</revisions>
</file>

<file path=xl/revisions/revisionLog171111.xml><?xml version="1.0" encoding="utf-8"?>
<revisions xmlns="http://schemas.openxmlformats.org/spreadsheetml/2006/main" xmlns:r="http://schemas.openxmlformats.org/officeDocument/2006/relationships">
  <rcc rId="146" sId="1">
    <nc r="G146">
      <f>0.222591*1000</f>
    </nc>
  </rcc>
  <rcc rId="147" sId="1">
    <nc r="I146">
      <f>0.007753*1000</f>
    </nc>
  </rcc>
  <rcc rId="148" sId="2" odxf="1" dxf="1">
    <nc r="F146">
      <f>0.222591*1000</f>
    </nc>
    <odxf>
      <alignment horizontal="general" vertical="bottom" readingOrder="0"/>
    </odxf>
    <ndxf>
      <alignment horizontal="right" vertical="top" readingOrder="0"/>
    </ndxf>
  </rcc>
  <rcc rId="149" sId="2">
    <nc r="E146" t="inlineStr">
      <is>
        <t>5-87/16 от 30.12.2016</t>
      </is>
    </nc>
  </rcc>
  <rcc rId="150" sId="3">
    <nc r="E146" t="inlineStr">
      <is>
        <t>5-87/16 от 30.12.2016</t>
      </is>
    </nc>
  </rcc>
  <rcc rId="151" sId="3" odxf="1" dxf="1">
    <nc r="F146">
      <f>0.222591*1000</f>
    </nc>
    <odxf>
      <alignment horizontal="general" vertical="bottom" readingOrder="0"/>
    </odxf>
    <ndxf>
      <alignment horizontal="right" vertical="top" readingOrder="0"/>
    </ndxf>
  </rcc>
</revisions>
</file>

<file path=xl/revisions/revisionLog18.xml><?xml version="1.0" encoding="utf-8"?>
<revisions xmlns="http://schemas.openxmlformats.org/spreadsheetml/2006/main" xmlns:r="http://schemas.openxmlformats.org/officeDocument/2006/relationships">
  <rcc rId="1739" sId="3">
    <oc r="C190" t="inlineStr">
      <is>
        <t>Счет-фактура №</t>
      </is>
    </oc>
    <nc r="C190" t="inlineStr">
      <is>
        <t>Счет-фактура №956</t>
      </is>
    </nc>
  </rcc>
  <rcc rId="1740" sId="3">
    <nc r="D190">
      <v>5</v>
    </nc>
  </rcc>
  <rcc rId="1741" sId="3">
    <oc r="C191" t="inlineStr">
      <is>
        <t>Счет-фактура №</t>
      </is>
    </oc>
    <nc r="C191" t="inlineStr">
      <is>
        <t>Счет-фактура №958</t>
      </is>
    </nc>
  </rcc>
  <rcc rId="1742" sId="3">
    <nc r="D191">
      <v>5</v>
    </nc>
  </rcc>
  <rcc rId="1743" sId="3">
    <oc r="C192" t="inlineStr">
      <is>
        <t>Счет-фактура №</t>
      </is>
    </oc>
    <nc r="C192" t="inlineStr">
      <is>
        <t>Счет-фактура №915</t>
      </is>
    </nc>
  </rcc>
  <rcc rId="1744" sId="3">
    <nc r="D192">
      <v>5</v>
    </nc>
  </rcc>
  <rcc rId="1745" sId="3">
    <oc r="C193" t="inlineStr">
      <is>
        <t>Счет-фактура №</t>
      </is>
    </oc>
    <nc r="C193" t="inlineStr">
      <is>
        <t>Счет-фактура №918</t>
      </is>
    </nc>
  </rcc>
  <rcc rId="1746" sId="3">
    <nc r="D193">
      <v>5</v>
    </nc>
  </rcc>
  <rcc rId="1747" sId="3">
    <nc r="D194">
      <v>5</v>
    </nc>
  </rcc>
  <rcc rId="1748" sId="3">
    <oc r="C195" t="inlineStr">
      <is>
        <t>Счет-фактура №</t>
      </is>
    </oc>
    <nc r="C195" t="inlineStr">
      <is>
        <t>Счет-фактура №924</t>
      </is>
    </nc>
  </rcc>
  <rcc rId="1749" sId="3">
    <nc r="D195">
      <v>5</v>
    </nc>
  </rcc>
  <rcc rId="1750" sId="3">
    <oc r="C196" t="inlineStr">
      <is>
        <t>Счет-фактура №</t>
      </is>
    </oc>
    <nc r="C196" t="inlineStr">
      <is>
        <t>Счет-фактура №912</t>
      </is>
    </nc>
  </rcc>
  <rcc rId="1751" sId="3">
    <nc r="D196">
      <v>5</v>
    </nc>
  </rcc>
  <rcc rId="1752" sId="3">
    <oc r="C197" t="inlineStr">
      <is>
        <t>Счет-фактура №</t>
      </is>
    </oc>
    <nc r="C197" t="inlineStr">
      <is>
        <t>Счет-фактура №913</t>
      </is>
    </nc>
  </rcc>
  <rcc rId="1753" sId="3">
    <nc r="D197">
      <v>5</v>
    </nc>
  </rcc>
  <rcc rId="1754" sId="3">
    <oc r="C194" t="inlineStr">
      <is>
        <t>Счет-фактура №</t>
      </is>
    </oc>
    <nc r="C194" t="inlineStr">
      <is>
        <t>Счет-фактура №948</t>
      </is>
    </nc>
  </rcc>
  <rcc rId="1755" sId="3">
    <oc r="C198" t="inlineStr">
      <is>
        <t>Счет-фактура №</t>
      </is>
    </oc>
    <nc r="C198" t="inlineStr">
      <is>
        <t>Счет-фактура №917</t>
      </is>
    </nc>
  </rcc>
  <rcc rId="1756" sId="3">
    <nc r="D198">
      <v>5</v>
    </nc>
  </rcc>
  <rcc rId="1757" sId="3">
    <oc r="C199" t="inlineStr">
      <is>
        <t>Счет-фактура №</t>
      </is>
    </oc>
    <nc r="C199" t="inlineStr">
      <is>
        <t>Счет-фактура №919</t>
      </is>
    </nc>
  </rcc>
  <rcc rId="1758" sId="3">
    <nc r="D199">
      <v>5</v>
    </nc>
  </rcc>
  <rcc rId="1759" sId="3">
    <oc r="C200" t="inlineStr">
      <is>
        <t>Счет-фактура №</t>
      </is>
    </oc>
    <nc r="C200" t="inlineStr">
      <is>
        <t>Счет-фактура №914</t>
      </is>
    </nc>
  </rcc>
  <rcc rId="1760" sId="3">
    <nc r="D200">
      <v>5</v>
    </nc>
  </rcc>
  <rcc rId="1761" sId="3">
    <oc r="C248" t="inlineStr">
      <is>
        <t>Счет-фактура №</t>
      </is>
    </oc>
    <nc r="C248" t="inlineStr">
      <is>
        <t>Счет-фактура №986</t>
      </is>
    </nc>
  </rcc>
  <rcc rId="1762" sId="3">
    <nc r="D248">
      <v>5</v>
    </nc>
  </rcc>
  <rcc rId="1763" sId="3">
    <oc r="C249" t="inlineStr">
      <is>
        <t>Счет-фактура №</t>
      </is>
    </oc>
    <nc r="C249" t="inlineStr">
      <is>
        <t>Счет-фактура №997</t>
      </is>
    </nc>
  </rcc>
  <rcc rId="1764" sId="3">
    <nc r="D249">
      <v>17</v>
    </nc>
  </rcc>
  <rcc rId="1765" sId="3">
    <oc r="C250" t="inlineStr">
      <is>
        <t>Счет-фактура №</t>
      </is>
    </oc>
    <nc r="C250" t="inlineStr">
      <is>
        <t>Счет-фактура №981</t>
      </is>
    </nc>
  </rcc>
  <rcc rId="1766" sId="3">
    <nc r="D250">
      <v>6</v>
    </nc>
  </rcc>
  <rcc rId="1767" sId="3">
    <oc r="C251" t="inlineStr">
      <is>
        <t>Счет-фактура №</t>
      </is>
    </oc>
    <nc r="C251" t="inlineStr">
      <is>
        <t>Счет-фактура №980</t>
      </is>
    </nc>
  </rcc>
  <rcc rId="1768" sId="3">
    <nc r="D251">
      <v>4</v>
    </nc>
  </rcc>
  <rcc rId="1769" sId="3">
    <oc r="C252" t="inlineStr">
      <is>
        <t>Счет-фактура №</t>
      </is>
    </oc>
    <nc r="C252" t="inlineStr">
      <is>
        <t>Счет-фактура №979</t>
      </is>
    </nc>
  </rcc>
  <rcc rId="1770" sId="3">
    <nc r="D252">
      <v>6</v>
    </nc>
  </rcc>
  <rcc rId="1771" sId="3">
    <oc r="C253" t="inlineStr">
      <is>
        <t>Счет-фактура №</t>
      </is>
    </oc>
    <nc r="C253" t="inlineStr">
      <is>
        <t>Счет-фактура №972</t>
      </is>
    </nc>
  </rcc>
  <rcc rId="1772" sId="3">
    <nc r="D253">
      <v>7</v>
    </nc>
  </rcc>
  <rcc rId="1773" sId="3">
    <oc r="C254" t="inlineStr">
      <is>
        <t>Счет-фактура №</t>
      </is>
    </oc>
    <nc r="C254" t="inlineStr">
      <is>
        <t>Счет-фактура №973</t>
      </is>
    </nc>
  </rcc>
  <rcc rId="1774" sId="3">
    <nc r="D254">
      <v>4</v>
    </nc>
  </rcc>
  <rcc rId="1775" sId="3">
    <oc r="C255" t="inlineStr">
      <is>
        <t>Счет-фактура №</t>
      </is>
    </oc>
    <nc r="C255" t="inlineStr">
      <is>
        <t>Счет-фактура №974</t>
      </is>
    </nc>
  </rcc>
  <rcc rId="1776" sId="3">
    <nc r="D255">
      <v>4</v>
    </nc>
  </rcc>
  <rcc rId="1777" sId="3">
    <oc r="C256" t="inlineStr">
      <is>
        <t>Счет-фактура №</t>
      </is>
    </oc>
    <nc r="C256" t="inlineStr">
      <is>
        <t>Счет-фактура №975</t>
      </is>
    </nc>
  </rcc>
  <rcc rId="1778" sId="3">
    <nc r="D256">
      <v>5</v>
    </nc>
  </rcc>
  <rcc rId="1779" sId="3">
    <oc r="C257" t="inlineStr">
      <is>
        <t>Счет-фактура №</t>
      </is>
    </oc>
    <nc r="C257" t="inlineStr">
      <is>
        <t>Счет-фактура №976</t>
      </is>
    </nc>
  </rcc>
  <rcc rId="1780" sId="3">
    <nc r="D257">
      <v>5</v>
    </nc>
  </rcc>
  <rcc rId="1781" sId="3">
    <oc r="C258" t="inlineStr">
      <is>
        <t>Счет-фактура №</t>
      </is>
    </oc>
    <nc r="C258" t="inlineStr">
      <is>
        <t>Счет-фактура №977</t>
      </is>
    </nc>
  </rcc>
  <rcc rId="1782" sId="3">
    <nc r="D258">
      <v>5</v>
    </nc>
  </rcc>
  <rcc rId="1783" sId="3">
    <oc r="C259" t="inlineStr">
      <is>
        <t>Счет-фактура №</t>
      </is>
    </oc>
    <nc r="C259" t="inlineStr">
      <is>
        <t>Счет-фактура №971</t>
      </is>
    </nc>
  </rcc>
  <rcc rId="1784" sId="3">
    <nc r="D259">
      <v>4</v>
    </nc>
  </rcc>
  <rcc rId="1785" sId="3">
    <oc r="C260" t="inlineStr">
      <is>
        <t>Счет-фактура №</t>
      </is>
    </oc>
    <nc r="C260" t="inlineStr">
      <is>
        <t>Счет-фактура №970</t>
      </is>
    </nc>
  </rcc>
  <rcc rId="1786" sId="3">
    <nc r="D260">
      <v>5</v>
    </nc>
  </rcc>
  <rcc rId="1787" sId="3">
    <oc r="C261" t="inlineStr">
      <is>
        <t>Счет-фактура №</t>
      </is>
    </oc>
    <nc r="C261" t="inlineStr">
      <is>
        <t>Счет-фактура №978</t>
      </is>
    </nc>
  </rcc>
  <rcc rId="1788" sId="3">
    <nc r="D261">
      <v>5</v>
    </nc>
  </rcc>
  <rfmt sheetId="3" sqref="A248:F248">
    <dxf>
      <fill>
        <patternFill patternType="solid">
          <bgColor rgb="FFFFFF00"/>
        </patternFill>
      </fill>
    </dxf>
  </rfmt>
  <rfmt sheetId="3" sqref="A248:XFD248">
    <dxf>
      <fill>
        <patternFill>
          <bgColor theme="0"/>
        </patternFill>
      </fill>
    </dxf>
  </rfmt>
</revisions>
</file>

<file path=xl/revisions/revisionLog181.xml><?xml version="1.0" encoding="utf-8"?>
<revisions xmlns="http://schemas.openxmlformats.org/spreadsheetml/2006/main" xmlns:r="http://schemas.openxmlformats.org/officeDocument/2006/relationships">
  <rcc rId="266" sId="1">
    <nc r="G90">
      <f>0.293464*1000</f>
    </nc>
  </rcc>
  <rcc rId="267" sId="1">
    <nc r="I90">
      <f>0.089299*1000</f>
    </nc>
  </rcc>
  <rcc rId="268" sId="2" odxf="1" dxf="1">
    <nc r="F90">
      <f>0.293464*1000</f>
    </nc>
    <odxf>
      <alignment horizontal="general" vertical="bottom" readingOrder="0"/>
    </odxf>
    <ndxf>
      <alignment horizontal="right" vertical="top" readingOrder="0"/>
    </ndxf>
  </rcc>
  <rcc rId="269" sId="2">
    <nc r="E90" t="inlineStr">
      <is>
        <t>5-32-А/16 от 30.12.2016</t>
      </is>
    </nc>
  </rcc>
  <rcc rId="270" sId="3">
    <nc r="E90" t="inlineStr">
      <is>
        <t>5-32-А/16 от 30.12.2016</t>
      </is>
    </nc>
  </rcc>
  <rcc rId="271" sId="3" odxf="1" dxf="1">
    <nc r="F90">
      <f>0.293464*1000</f>
    </nc>
    <odxf>
      <alignment horizontal="general" vertical="bottom" readingOrder="0"/>
    </odxf>
    <ndxf>
      <alignment horizontal="right" vertical="top" readingOrder="0"/>
    </ndxf>
  </rcc>
</revisions>
</file>

<file path=xl/revisions/revisionLog1811.xml><?xml version="1.0" encoding="utf-8"?>
<revisions xmlns="http://schemas.openxmlformats.org/spreadsheetml/2006/main" xmlns:r="http://schemas.openxmlformats.org/officeDocument/2006/relationships">
  <rcc rId="236" sId="1">
    <nc r="G62">
      <f>0.176375*1000</f>
    </nc>
  </rcc>
  <rcc rId="237" sId="1">
    <nc r="I62">
      <f>0.075016*1000</f>
    </nc>
  </rcc>
  <rcc rId="238" sId="2" odxf="1" dxf="1">
    <nc r="F62">
      <f>0.176375*1000</f>
    </nc>
    <odxf>
      <alignment horizontal="general" vertical="bottom" readingOrder="0"/>
    </odxf>
    <ndxf>
      <alignment horizontal="right" vertical="top" readingOrder="0"/>
    </ndxf>
  </rcc>
  <rcc rId="239" sId="2">
    <nc r="E62" t="inlineStr">
      <is>
        <t>5-41/16 от 30.12.2016</t>
      </is>
    </nc>
  </rcc>
  <rcc rId="240" sId="3">
    <nc r="E62" t="inlineStr">
      <is>
        <t>5-41/16 от 30.12.2016</t>
      </is>
    </nc>
  </rcc>
  <rcc rId="241" sId="3" odxf="1" dxf="1">
    <nc r="F62">
      <f>0.176375*1000</f>
    </nc>
    <odxf>
      <alignment horizontal="general" vertical="bottom" readingOrder="0"/>
    </odxf>
    <ndxf>
      <alignment horizontal="right" vertical="top" readingOrder="0"/>
    </ndxf>
  </rcc>
</revisions>
</file>

<file path=xl/revisions/revisionLog18111.xml><?xml version="1.0" encoding="utf-8"?>
<revisions xmlns="http://schemas.openxmlformats.org/spreadsheetml/2006/main" xmlns:r="http://schemas.openxmlformats.org/officeDocument/2006/relationships">
  <rcc rId="206" sId="1">
    <nc r="G167">
      <f>0.214695*1000</f>
    </nc>
  </rcc>
  <rcc rId="207" sId="1">
    <nc r="I167">
      <f>0.101426*1000</f>
    </nc>
  </rcc>
  <rcc rId="208" sId="2" odxf="1" dxf="1">
    <nc r="F167">
      <f>0.214695*1000</f>
    </nc>
    <odxf>
      <alignment horizontal="general" vertical="bottom" readingOrder="0"/>
    </odxf>
    <ndxf>
      <alignment horizontal="right" vertical="top" readingOrder="0"/>
    </ndxf>
  </rcc>
  <rcc rId="209" sId="2">
    <nc r="E167" t="inlineStr">
      <is>
        <t>3-124/16 от 30.12.2016</t>
      </is>
    </nc>
  </rcc>
  <rcc rId="210" sId="3">
    <nc r="E167" t="inlineStr">
      <is>
        <t>3-124/16 от 30.12.2016</t>
      </is>
    </nc>
  </rcc>
  <rcc rId="211" sId="3" odxf="1" dxf="1">
    <nc r="F167">
      <f>0.214695*1000</f>
    </nc>
    <odxf>
      <alignment horizontal="general" vertical="bottom" readingOrder="0"/>
    </odxf>
    <ndxf>
      <alignment horizontal="right" vertical="top" readingOrder="0"/>
    </ndxf>
  </rcc>
  <rcc rId="212" sId="1">
    <nc r="G168">
      <f>0.276902*1000</f>
    </nc>
  </rcc>
  <rcc rId="213" sId="1">
    <nc r="I168">
      <f>0.14325*1000</f>
    </nc>
  </rcc>
  <rcc rId="214" sId="2" odxf="1" dxf="1">
    <nc r="F168">
      <f>0.276902*1000</f>
    </nc>
    <odxf>
      <alignment horizontal="general" vertical="bottom" readingOrder="0"/>
    </odxf>
    <ndxf>
      <alignment horizontal="right" vertical="top" readingOrder="0"/>
    </ndxf>
  </rcc>
  <rcc rId="215" sId="2">
    <nc r="E168" t="inlineStr">
      <is>
        <t>3-119/16 от 30.12.2016</t>
      </is>
    </nc>
  </rcc>
  <rcc rId="216" sId="3">
    <nc r="E168" t="inlineStr">
      <is>
        <t>3-119/16 от 30.12.2016</t>
      </is>
    </nc>
  </rcc>
  <rcc rId="217" sId="3" odxf="1" dxf="1">
    <nc r="F168">
      <f>0.276902*1000</f>
    </nc>
    <odxf>
      <alignment horizontal="general" vertical="bottom" readingOrder="0"/>
    </odxf>
    <ndxf>
      <alignment horizontal="right" vertical="top" readingOrder="0"/>
    </ndxf>
  </rcc>
</revisions>
</file>

<file path=xl/revisions/revisionLog181111.xml><?xml version="1.0" encoding="utf-8"?>
<revisions xmlns="http://schemas.openxmlformats.org/spreadsheetml/2006/main" xmlns:r="http://schemas.openxmlformats.org/officeDocument/2006/relationships">
  <rcc rId="200" sId="1">
    <nc r="G166">
      <f>0.228837*1000</f>
    </nc>
  </rcc>
  <rcc rId="201" sId="1">
    <nc r="I166">
      <f>0.083739*1000</f>
    </nc>
  </rcc>
  <rcc rId="202" sId="2" odxf="1" dxf="1">
    <nc r="F166">
      <f>0.228837*1000</f>
    </nc>
    <odxf>
      <alignment horizontal="general" vertical="bottom" readingOrder="0"/>
    </odxf>
    <ndxf>
      <alignment horizontal="right" vertical="top" readingOrder="0"/>
    </ndxf>
  </rcc>
  <rcc rId="203" sId="2">
    <nc r="E166" t="inlineStr">
      <is>
        <t>5-118/16 от 30.12.2016</t>
      </is>
    </nc>
  </rcc>
  <rcc rId="204" sId="3">
    <nc r="E166" t="inlineStr">
      <is>
        <t>5-118/16 от 30.12.2016</t>
      </is>
    </nc>
  </rcc>
  <rcc rId="205" sId="3" odxf="1" dxf="1">
    <nc r="F166">
      <f>0.228837*1000</f>
    </nc>
    <odxf>
      <alignment horizontal="general" vertical="bottom" readingOrder="0"/>
    </odxf>
    <ndxf>
      <alignment horizontal="right" vertical="top" readingOrder="0"/>
    </ndxf>
  </rcc>
</revisions>
</file>

<file path=xl/revisions/revisionLog1811111.xml><?xml version="1.0" encoding="utf-8"?>
<revisions xmlns="http://schemas.openxmlformats.org/spreadsheetml/2006/main" xmlns:r="http://schemas.openxmlformats.org/officeDocument/2006/relationships">
  <rcc rId="170" sId="1">
    <nc r="G154">
      <f>0.249217*1000</f>
    </nc>
  </rcc>
  <rcc rId="171" sId="1">
    <nc r="I154">
      <f>0.122552*1000</f>
    </nc>
  </rcc>
  <rcc rId="172" sId="2" odxf="1" dxf="1">
    <nc r="F154">
      <f>0.249217*1000</f>
    </nc>
    <odxf>
      <alignment horizontal="general" vertical="bottom" readingOrder="0"/>
    </odxf>
    <ndxf>
      <alignment horizontal="right" vertical="top" readingOrder="0"/>
    </ndxf>
  </rcc>
  <rcc rId="173" sId="2">
    <nc r="E154" t="inlineStr">
      <is>
        <t>5-65/16 от 30.12.2016</t>
      </is>
    </nc>
  </rcc>
  <rcc rId="174" sId="3">
    <nc r="E154" t="inlineStr">
      <is>
        <t>5-65/16 от 30.12.2016</t>
      </is>
    </nc>
  </rcc>
  <rcc rId="175" sId="3" odxf="1" dxf="1">
    <nc r="F154">
      <f>0.249217*1000</f>
    </nc>
    <odxf>
      <alignment horizontal="general" vertical="bottom" readingOrder="0"/>
    </odxf>
    <ndxf>
      <alignment horizontal="right" vertical="top" readingOrder="0"/>
    </ndxf>
  </rcc>
</revisions>
</file>

<file path=xl/revisions/revisionLog18111111.xml><?xml version="1.0" encoding="utf-8"?>
<revisions xmlns="http://schemas.openxmlformats.org/spreadsheetml/2006/main" xmlns:r="http://schemas.openxmlformats.org/officeDocument/2006/relationships">
  <rcc rId="164" sId="1">
    <nc r="G152">
      <f>0.25305*1000</f>
    </nc>
  </rcc>
  <rcc rId="165" sId="1">
    <nc r="I152">
      <f>0.105843*1000</f>
    </nc>
  </rcc>
  <rcc rId="166" sId="2" odxf="1" dxf="1">
    <nc r="F152">
      <f>0.25305*1000</f>
    </nc>
    <odxf>
      <alignment horizontal="general" vertical="bottom" readingOrder="0"/>
    </odxf>
    <ndxf>
      <alignment horizontal="right" vertical="top" readingOrder="0"/>
    </ndxf>
  </rcc>
  <rcc rId="167" sId="2">
    <nc r="E152" t="inlineStr">
      <is>
        <t>5-57/16 от 30.12.2016</t>
      </is>
    </nc>
  </rcc>
  <rcc rId="168" sId="3">
    <nc r="E152" t="inlineStr">
      <is>
        <t>5-57/16 от 30.12.2016</t>
      </is>
    </nc>
  </rcc>
  <rcc rId="169" sId="3" odxf="1" dxf="1">
    <nc r="F152">
      <f>0.25305*1000</f>
    </nc>
    <odxf>
      <alignment horizontal="general" vertical="bottom" readingOrder="0"/>
    </odxf>
    <ndxf>
      <alignment horizontal="right" vertical="top" readingOrder="0"/>
    </ndxf>
  </rcc>
</revisions>
</file>

<file path=xl/revisions/revisionLog182.xml><?xml version="1.0" encoding="utf-8"?>
<revisions xmlns="http://schemas.openxmlformats.org/spreadsheetml/2006/main" xmlns:r="http://schemas.openxmlformats.org/officeDocument/2006/relationships">
  <rcc rId="1701" sId="3">
    <oc r="C229" t="inlineStr">
      <is>
        <t>Счет-фактура №</t>
      </is>
    </oc>
    <nc r="C229" t="inlineStr">
      <is>
        <t>Счет-фактура №952</t>
      </is>
    </nc>
  </rcc>
  <rcc rId="1702" sId="3">
    <nc r="D229">
      <v>5</v>
    </nc>
  </rcc>
  <rcc rId="1703" sId="3">
    <oc r="C230" t="inlineStr">
      <is>
        <t>Счет-фактура №</t>
      </is>
    </oc>
    <nc r="C230" t="inlineStr">
      <is>
        <t>Счет-фактура №953</t>
      </is>
    </nc>
  </rcc>
  <rcc rId="1704" sId="3">
    <nc r="D230">
      <v>5</v>
    </nc>
  </rcc>
  <rcc rId="1705" sId="3">
    <oc r="C231" t="inlineStr">
      <is>
        <t>Счет-фактура №</t>
      </is>
    </oc>
    <nc r="C231" t="inlineStr">
      <is>
        <t>Счет-фактура №961</t>
      </is>
    </nc>
  </rcc>
  <rcc rId="1706" sId="3">
    <nc r="D231">
      <v>5</v>
    </nc>
  </rcc>
  <rcc rId="1707" sId="3">
    <oc r="C232" t="inlineStr">
      <is>
        <t>Счет-фактура №</t>
      </is>
    </oc>
    <nc r="C232" t="inlineStr">
      <is>
        <t>Счет-фактура №962</t>
      </is>
    </nc>
  </rcc>
  <rcc rId="1708" sId="3">
    <nc r="D232">
      <v>5</v>
    </nc>
  </rcc>
  <rcc rId="1709" sId="3">
    <oc r="C233" t="inlineStr">
      <is>
        <t>Счет-фактура №</t>
      </is>
    </oc>
    <nc r="C233" t="inlineStr">
      <is>
        <t>Счет-фактура №963</t>
      </is>
    </nc>
  </rcc>
  <rcc rId="1710" sId="3">
    <nc r="D233">
      <v>5</v>
    </nc>
  </rcc>
  <rcc rId="1711" sId="3">
    <oc r="C234" t="inlineStr">
      <is>
        <t>Счет-фактура №</t>
      </is>
    </oc>
    <nc r="C234" t="inlineStr">
      <is>
        <t>Счет-фактура №964</t>
      </is>
    </nc>
  </rcc>
  <rcc rId="1712" sId="3">
    <nc r="D234">
      <v>5</v>
    </nc>
  </rcc>
  <rcc rId="1713" sId="3">
    <oc r="C235" t="inlineStr">
      <is>
        <t>Счет-фактура №</t>
      </is>
    </oc>
    <nc r="C235" t="inlineStr">
      <is>
        <t>Счет-фактура №965</t>
      </is>
    </nc>
  </rcc>
  <rcc rId="1714" sId="3">
    <nc r="D235">
      <v>5</v>
    </nc>
  </rcc>
  <rcc rId="1715" sId="3">
    <oc r="C236" t="inlineStr">
      <is>
        <t>Счет-фактура №</t>
      </is>
    </oc>
    <nc r="C236" t="inlineStr">
      <is>
        <t>Счет-фактура №950</t>
      </is>
    </nc>
  </rcc>
  <rcc rId="1716" sId="3">
    <nc r="D236">
      <v>5</v>
    </nc>
  </rcc>
  <rcc rId="1717" sId="3">
    <oc r="C237" t="inlineStr">
      <is>
        <t>Счет-фактура №</t>
      </is>
    </oc>
    <nc r="C237" t="inlineStr">
      <is>
        <t>Счет-фактура №941</t>
      </is>
    </nc>
  </rcc>
  <rcc rId="1718" sId="3">
    <nc r="D237">
      <v>5</v>
    </nc>
  </rcc>
  <rcc rId="1719" sId="3">
    <oc r="C238" t="inlineStr">
      <is>
        <t>Счет-фактура №</t>
      </is>
    </oc>
    <nc r="C238" t="inlineStr">
      <is>
        <t>Счет-фактура №994</t>
      </is>
    </nc>
  </rcc>
  <rcc rId="1720" sId="3">
    <nc r="D238">
      <v>5</v>
    </nc>
  </rcc>
  <rcc rId="1721" sId="3">
    <oc r="C239" t="inlineStr">
      <is>
        <t>Счет-фактура №</t>
      </is>
    </oc>
    <nc r="C239" t="inlineStr">
      <is>
        <t>Счет-фактура №995</t>
      </is>
    </nc>
  </rcc>
  <rcc rId="1722" sId="3">
    <nc r="D239">
      <v>5</v>
    </nc>
  </rcc>
  <rcc rId="1723" sId="3">
    <oc r="C240" t="inlineStr">
      <is>
        <t>Счет-фактура №</t>
      </is>
    </oc>
    <nc r="C240" t="inlineStr">
      <is>
        <t>Счет-фактура №993</t>
      </is>
    </nc>
  </rcc>
  <rcc rId="1724" sId="3">
    <nc r="D240">
      <v>5</v>
    </nc>
  </rcc>
</revisions>
</file>

<file path=xl/revisions/revisionLog1821.xml><?xml version="1.0" encoding="utf-8"?>
<revisions xmlns="http://schemas.openxmlformats.org/spreadsheetml/2006/main" xmlns:r="http://schemas.openxmlformats.org/officeDocument/2006/relationships">
  <rcc rId="1667" sId="3">
    <oc r="C212" t="inlineStr">
      <is>
        <t>Счет-фактура №</t>
      </is>
    </oc>
    <nc r="C212" t="inlineStr">
      <is>
        <t>Счет-фактура №933</t>
      </is>
    </nc>
  </rcc>
  <rcc rId="1668" sId="3">
    <nc r="D212">
      <v>5</v>
    </nc>
  </rcc>
  <rcc rId="1669" sId="3">
    <oc r="C213" t="inlineStr">
      <is>
        <t>Счет-фактура №</t>
      </is>
    </oc>
    <nc r="C213" t="inlineStr">
      <is>
        <t>Счет-фактура №934</t>
      </is>
    </nc>
  </rcc>
  <rcc rId="1670" sId="3">
    <nc r="D213">
      <v>4</v>
    </nc>
  </rcc>
  <rcc rId="1671" sId="3">
    <oc r="C214" t="inlineStr">
      <is>
        <t>Счет-фактура №</t>
      </is>
    </oc>
    <nc r="C214" t="inlineStr">
      <is>
        <t>Счет-фактура №940</t>
      </is>
    </nc>
  </rcc>
  <rcc rId="1672" sId="3">
    <nc r="D214">
      <v>5</v>
    </nc>
  </rcc>
  <rcc rId="1673" sId="3">
    <oc r="C215" t="inlineStr">
      <is>
        <t>Счет-фактура №</t>
      </is>
    </oc>
    <nc r="C215" t="inlineStr">
      <is>
        <t>Счет-фактура №942</t>
      </is>
    </nc>
  </rcc>
  <rcc rId="1674" sId="3">
    <nc r="D215">
      <v>5</v>
    </nc>
  </rcc>
  <rcc rId="1675" sId="3">
    <oc r="C216" t="inlineStr">
      <is>
        <t>Счет-фактура №</t>
      </is>
    </oc>
    <nc r="C216" t="inlineStr">
      <is>
        <t>Счет-фактура №954</t>
      </is>
    </nc>
  </rcc>
  <rcc rId="1676" sId="3">
    <nc r="D216">
      <v>5</v>
    </nc>
  </rcc>
  <rcc rId="1677" sId="3">
    <oc r="C217" t="inlineStr">
      <is>
        <t>Счет-фактура №</t>
      </is>
    </oc>
    <nc r="C217" t="inlineStr">
      <is>
        <t>Счет-фактура №951</t>
      </is>
    </nc>
  </rcc>
  <rcc rId="1678" sId="3">
    <nc r="D217">
      <v>5</v>
    </nc>
  </rcc>
  <rcc rId="1679" sId="3">
    <oc r="C218" t="inlineStr">
      <is>
        <t>Счет-фактура №</t>
      </is>
    </oc>
    <nc r="C218" t="inlineStr">
      <is>
        <t>Счет-фактура №955</t>
      </is>
    </nc>
  </rcc>
  <rcc rId="1680" sId="3">
    <nc r="D218">
      <v>5</v>
    </nc>
  </rcc>
  <rcc rId="1681" sId="3">
    <oc r="C219" t="inlineStr">
      <is>
        <t>Счет-фактура №</t>
      </is>
    </oc>
    <nc r="C219" t="inlineStr">
      <is>
        <t>Счет-фактура №957</t>
      </is>
    </nc>
  </rcc>
  <rcc rId="1682" sId="3">
    <nc r="D219">
      <v>5</v>
    </nc>
  </rcc>
  <rcc rId="1683" sId="3">
    <oc r="C220" t="inlineStr">
      <is>
        <t>Счет-фактура №</t>
      </is>
    </oc>
    <nc r="C220" t="inlineStr">
      <is>
        <t>Счет-фактура №945</t>
      </is>
    </nc>
  </rcc>
  <rcc rId="1684" sId="3">
    <nc r="D220">
      <v>5</v>
    </nc>
  </rcc>
  <rcc rId="1685" sId="3">
    <oc r="C221" t="inlineStr">
      <is>
        <t>Счет-фактура №</t>
      </is>
    </oc>
    <nc r="C221" t="inlineStr">
      <is>
        <t>Счет-фактура №959</t>
      </is>
    </nc>
  </rcc>
  <rcc rId="1686" sId="3">
    <nc r="D221">
      <v>5</v>
    </nc>
  </rcc>
</revisions>
</file>

<file path=xl/revisions/revisionLog18211.xml><?xml version="1.0" encoding="utf-8"?>
<revisions xmlns="http://schemas.openxmlformats.org/spreadsheetml/2006/main" xmlns:r="http://schemas.openxmlformats.org/officeDocument/2006/relationships">
  <rcc rId="1547" sId="3">
    <oc r="C76" t="inlineStr">
      <is>
        <t>Счет-фактура №</t>
      </is>
    </oc>
    <nc r="C76" t="inlineStr">
      <is>
        <t>Счет-фактура №539</t>
      </is>
    </nc>
  </rcc>
  <rcc rId="1548" sId="3">
    <nc r="D76">
      <v>8</v>
    </nc>
  </rcc>
  <rcc rId="1549" sId="3">
    <oc r="C78" t="inlineStr">
      <is>
        <t>Счет-фактура №</t>
      </is>
    </oc>
    <nc r="C78" t="inlineStr">
      <is>
        <t>Счет-фактура №540</t>
      </is>
    </nc>
  </rcc>
  <rcc rId="1550" sId="3">
    <nc r="D78">
      <v>8</v>
    </nc>
  </rcc>
  <rcc rId="1551" sId="3">
    <oc r="C79" t="inlineStr">
      <is>
        <t>Счет-фактура №</t>
      </is>
    </oc>
    <nc r="C79" t="inlineStr">
      <is>
        <t>Счет-фактура №722</t>
      </is>
    </nc>
  </rcc>
  <rcc rId="1552" sId="3">
    <nc r="D79">
      <v>8</v>
    </nc>
  </rcc>
  <rcc rId="1553" sId="3">
    <oc r="C80" t="inlineStr">
      <is>
        <t>Счет-фактура №</t>
      </is>
    </oc>
    <nc r="C80" t="inlineStr">
      <is>
        <t>Счет-фактура №526</t>
      </is>
    </nc>
  </rcc>
  <rcc rId="1554" sId="3">
    <nc r="D80">
      <v>8</v>
    </nc>
  </rcc>
  <rcc rId="1555" sId="3">
    <oc r="C89" t="inlineStr">
      <is>
        <t>Счет-фактура №</t>
      </is>
    </oc>
    <nc r="C89" t="inlineStr">
      <is>
        <t>Счет-фактура №726</t>
      </is>
    </nc>
  </rcc>
  <rcc rId="1556" sId="3">
    <nc r="D89">
      <v>9</v>
    </nc>
  </rcc>
  <rcc rId="1557" sId="3">
    <oc r="C90" t="inlineStr">
      <is>
        <t>Счет-фактура №</t>
      </is>
    </oc>
    <nc r="C90" t="inlineStr">
      <is>
        <t>Счет-фактура №727</t>
      </is>
    </nc>
  </rcc>
  <rcc rId="1558" sId="3">
    <nc r="D90">
      <v>9</v>
    </nc>
  </rcc>
  <rcc rId="1559" sId="3">
    <oc r="C91" t="inlineStr">
      <is>
        <t>Счет-фактура №</t>
      </is>
    </oc>
    <nc r="C91" t="inlineStr">
      <is>
        <t>Счет-фактура №729</t>
      </is>
    </nc>
  </rcc>
  <rcc rId="1560" sId="3">
    <nc r="D91">
      <v>9</v>
    </nc>
  </rcc>
  <rcc rId="1561" sId="3">
    <oc r="C92" t="inlineStr">
      <is>
        <t>Счет-фактура №</t>
      </is>
    </oc>
    <nc r="C92" t="inlineStr">
      <is>
        <t>Счет-фактура №730</t>
      </is>
    </nc>
  </rcc>
  <rcc rId="1562" sId="3">
    <nc r="D92">
      <v>9</v>
    </nc>
  </rcc>
  <rcc rId="1563" sId="3">
    <oc r="C93" t="inlineStr">
      <is>
        <t>Счет-фактура №</t>
      </is>
    </oc>
    <nc r="C93" t="inlineStr">
      <is>
        <t>Счет-фактура №731</t>
      </is>
    </nc>
  </rcc>
  <rcc rId="1564" sId="3">
    <nc r="D93">
      <v>8</v>
    </nc>
  </rcc>
  <rcc rId="1565" sId="3">
    <oc r="C94" t="inlineStr">
      <is>
        <t>Счет-фактура №</t>
      </is>
    </oc>
    <nc r="C94" t="inlineStr">
      <is>
        <t>Счет-фактура №732</t>
      </is>
    </nc>
  </rcc>
  <rcc rId="1566" sId="3">
    <nc r="D94">
      <v>9</v>
    </nc>
  </rcc>
  <rcc rId="1567" sId="3">
    <oc r="C95" t="inlineStr">
      <is>
        <t>Счет-фактура №</t>
      </is>
    </oc>
    <nc r="C95" t="inlineStr">
      <is>
        <t>Счет-фактура №733</t>
      </is>
    </nc>
  </rcc>
  <rcc rId="1568" sId="3">
    <nc r="D95">
      <v>9</v>
    </nc>
  </rcc>
  <rcc rId="1569" sId="3">
    <oc r="C96" t="inlineStr">
      <is>
        <t>Счет-фактура №</t>
      </is>
    </oc>
    <nc r="C96" t="inlineStr">
      <is>
        <t>Счет-фактура №734</t>
      </is>
    </nc>
  </rcc>
  <rcc rId="1570" sId="3">
    <nc r="D96">
      <v>8</v>
    </nc>
  </rcc>
  <rcc rId="1571" sId="3">
    <oc r="C98" t="inlineStr">
      <is>
        <t>Счет-фактура №</t>
      </is>
    </oc>
    <nc r="C98" t="inlineStr">
      <is>
        <t>Счет-фактура №735</t>
      </is>
    </nc>
  </rcc>
  <rcc rId="1572" sId="3">
    <nc r="D98">
      <v>8</v>
    </nc>
  </rcc>
</revisions>
</file>

<file path=xl/revisions/revisionLog182111.xml><?xml version="1.0" encoding="utf-8"?>
<revisions xmlns="http://schemas.openxmlformats.org/spreadsheetml/2006/main" xmlns:r="http://schemas.openxmlformats.org/officeDocument/2006/relationships">
  <rcc rId="326" sId="1">
    <nc r="G175">
      <f>0.265936*1000</f>
    </nc>
  </rcc>
  <rcc rId="327" sId="1">
    <nc r="I175">
      <f>0.12163*1000</f>
    </nc>
  </rcc>
  <rcc rId="328" sId="2" odxf="1" dxf="1">
    <nc r="F175">
      <f>0.265936*1000</f>
    </nc>
    <odxf>
      <alignment horizontal="general" vertical="bottom" readingOrder="0"/>
    </odxf>
    <ndxf>
      <alignment horizontal="right" vertical="top" readingOrder="0"/>
    </ndxf>
  </rcc>
  <rcc rId="329" sId="2">
    <nc r="E175" t="inlineStr">
      <is>
        <t>4-122/16 от 30.12.2016</t>
      </is>
    </nc>
  </rcc>
  <rcc rId="330" sId="3">
    <nc r="E175" t="inlineStr">
      <is>
        <t>4-122/16 от 30.12.2016</t>
      </is>
    </nc>
  </rcc>
  <rcc rId="331" sId="3" odxf="1" dxf="1">
    <nc r="F175">
      <f>0.265936*1000</f>
    </nc>
    <odxf>
      <alignment horizontal="general" vertical="bottom" readingOrder="0"/>
    </odxf>
    <ndxf>
      <alignment horizontal="right" vertical="top" readingOrder="0"/>
    </ndxf>
  </rcc>
</revisions>
</file>

<file path=xl/revisions/revisionLog19.xml><?xml version="1.0" encoding="utf-8"?>
<revisions xmlns="http://schemas.openxmlformats.org/spreadsheetml/2006/main" xmlns:r="http://schemas.openxmlformats.org/officeDocument/2006/relationships">
  <rcc rId="380" sId="1">
    <nc r="G200">
      <f>0.157566*1000</f>
    </nc>
  </rcc>
  <rcc rId="381" sId="1">
    <nc r="I200">
      <f>0.040915*1000</f>
    </nc>
  </rcc>
  <rcc rId="382" sId="2" odxf="1" dxf="1">
    <nc r="F203">
      <f>0.157566*1000</f>
    </nc>
    <odxf>
      <alignment horizontal="general" vertical="bottom" readingOrder="0"/>
    </odxf>
    <ndxf>
      <alignment horizontal="right" vertical="top" readingOrder="0"/>
    </ndxf>
  </rcc>
  <rcc rId="383" sId="2">
    <nc r="E203" t="inlineStr">
      <is>
        <t>295-ТМ/16 от 23.12.2016</t>
      </is>
    </nc>
  </rcc>
  <rcc rId="384" sId="3">
    <nc r="E202" t="inlineStr">
      <is>
        <t>295-ТМ/16 от 23.12.2016</t>
      </is>
    </nc>
  </rcc>
  <rcc rId="385" sId="3" odxf="1" dxf="1">
    <nc r="F202">
      <f>0.157566*1000</f>
    </nc>
    <odxf>
      <alignment horizontal="general" vertical="bottom" readingOrder="0"/>
    </odxf>
    <ndxf>
      <alignment horizontal="right" vertical="top" readingOrder="0"/>
    </ndxf>
  </rcc>
  <rcc rId="386" sId="1">
    <nc r="G196">
      <f>0.157048*1000</f>
    </nc>
  </rcc>
  <rcc rId="387" sId="1">
    <nc r="I196">
      <f>0.04923*1000</f>
    </nc>
  </rcc>
  <rcc rId="388" sId="2" odxf="1" dxf="1">
    <nc r="F199">
      <f>0.157048*1000</f>
    </nc>
    <odxf>
      <alignment horizontal="general" vertical="bottom" readingOrder="0"/>
    </odxf>
    <ndxf>
      <alignment horizontal="right" vertical="top" readingOrder="0"/>
    </ndxf>
  </rcc>
  <rcc rId="389" sId="2">
    <nc r="E199" t="inlineStr">
      <is>
        <t>2926-ТМ/16 от 23.12.216</t>
      </is>
    </nc>
  </rcc>
  <rcc rId="390" sId="3">
    <nc r="E193" t="inlineStr">
      <is>
        <t>2926-ТМ/16 от 23.12.216</t>
      </is>
    </nc>
  </rcc>
  <rcc rId="391" sId="3" odxf="1" dxf="1">
    <nc r="F193">
      <f>0.157048*1000</f>
    </nc>
    <odxf>
      <alignment horizontal="general" vertical="bottom" readingOrder="0"/>
    </odxf>
    <ndxf>
      <alignment horizontal="right" vertical="top" readingOrder="0"/>
    </ndxf>
  </rcc>
</revisions>
</file>

<file path=xl/revisions/revisionLog191.xml><?xml version="1.0" encoding="utf-8"?>
<revisions xmlns="http://schemas.openxmlformats.org/spreadsheetml/2006/main" xmlns:r="http://schemas.openxmlformats.org/officeDocument/2006/relationships">
  <rcc rId="320" sId="1">
    <nc r="G172">
      <f>0.264232*1000</f>
    </nc>
  </rcc>
  <rcc rId="321" sId="1">
    <nc r="I172">
      <f>0.120589*1000</f>
    </nc>
  </rcc>
  <rcc rId="322" sId="2" odxf="1" dxf="1">
    <nc r="F172">
      <f>0.264232*1000</f>
    </nc>
    <odxf>
      <alignment horizontal="general" vertical="bottom" readingOrder="0"/>
    </odxf>
    <ndxf>
      <alignment horizontal="right" vertical="top" readingOrder="0"/>
    </ndxf>
  </rcc>
  <rcc rId="323" sId="2">
    <nc r="E172" t="inlineStr">
      <is>
        <t>5-107/16 от 30.12.2016</t>
      </is>
    </nc>
  </rcc>
  <rcc rId="324" sId="3">
    <nc r="E172" t="inlineStr">
      <is>
        <t>5-107/16 от 30.12.2016</t>
      </is>
    </nc>
  </rcc>
  <rcc rId="325" sId="3" odxf="1" dxf="1">
    <nc r="F172">
      <f>0.264232*1000</f>
    </nc>
    <odxf>
      <alignment horizontal="general" vertical="bottom" readingOrder="0"/>
    </odxf>
    <ndxf>
      <alignment horizontal="right" vertical="top" readingOrder="0"/>
    </ndxf>
  </rcc>
</revisions>
</file>

<file path=xl/revisions/revisionLog1911.xml><?xml version="1.0" encoding="utf-8"?>
<revisions xmlns="http://schemas.openxmlformats.org/spreadsheetml/2006/main" xmlns:r="http://schemas.openxmlformats.org/officeDocument/2006/relationships">
  <rcc rId="230" sId="1">
    <nc r="G54">
      <f>0.173159*1000</f>
    </nc>
  </rcc>
  <rcc rId="231" sId="1">
    <nc r="I54">
      <f>0.079193*1000</f>
    </nc>
  </rcc>
  <rcc rId="232" sId="2" odxf="1" dxf="1">
    <nc r="F54">
      <f>0.250251*1000</f>
    </nc>
    <odxf>
      <alignment horizontal="general" vertical="bottom" readingOrder="0"/>
    </odxf>
    <ndxf>
      <alignment horizontal="right" vertical="top" readingOrder="0"/>
    </ndxf>
  </rcc>
  <rcc rId="233" sId="2">
    <nc r="E54" t="inlineStr">
      <is>
        <t>5-48/16 от 30.12.2016</t>
      </is>
    </nc>
  </rcc>
  <rcc rId="234" sId="3">
    <nc r="E54" t="inlineStr">
      <is>
        <t>5-48/16 от 30.12.2016</t>
      </is>
    </nc>
  </rcc>
  <rcc rId="235" sId="3" odxf="1" dxf="1">
    <nc r="F54">
      <f>0.250251*1000</f>
    </nc>
    <odxf>
      <alignment horizontal="general" vertical="bottom" readingOrder="0"/>
    </odxf>
    <ndxf>
      <alignment horizontal="right" vertical="top" readingOrder="0"/>
    </ndxf>
  </rcc>
</revisions>
</file>

<file path=xl/revisions/revisionLog19111.xml><?xml version="1.0" encoding="utf-8"?>
<revisions xmlns="http://schemas.openxmlformats.org/spreadsheetml/2006/main" xmlns:r="http://schemas.openxmlformats.org/officeDocument/2006/relationships">
  <rcc rId="194" sId="1">
    <nc r="G165">
      <f>0.206441*1000</f>
    </nc>
  </rcc>
  <rcc rId="195" sId="1">
    <nc r="I165">
      <f>0.099013*1000</f>
    </nc>
  </rcc>
  <rcc rId="196" sId="2" odxf="1" dxf="1">
    <nc r="F165">
      <f>0.206441*1000</f>
    </nc>
    <odxf>
      <alignment horizontal="general" vertical="bottom" readingOrder="0"/>
    </odxf>
    <ndxf>
      <alignment horizontal="right" vertical="top" readingOrder="0"/>
    </ndxf>
  </rcc>
  <rcc rId="197" sId="2">
    <nc r="E165" t="inlineStr">
      <is>
        <t>3-114/16 от 30.12.2016</t>
      </is>
    </nc>
  </rcc>
  <rcc rId="198" sId="3">
    <nc r="E165" t="inlineStr">
      <is>
        <t>3-114/16 от 30.12.2016</t>
      </is>
    </nc>
  </rcc>
  <rcc rId="199" sId="3" odxf="1" dxf="1">
    <nc r="F165">
      <f>0.206441*1000</f>
    </nc>
    <odxf>
      <alignment horizontal="general" vertical="bottom" readingOrder="0"/>
    </odxf>
    <ndxf>
      <alignment horizontal="right" vertical="top" readingOrder="0"/>
    </ndxf>
  </rcc>
</revisions>
</file>

<file path=xl/revisions/revisionLog192.xml><?xml version="1.0" encoding="utf-8"?>
<revisions xmlns="http://schemas.openxmlformats.org/spreadsheetml/2006/main" xmlns:r="http://schemas.openxmlformats.org/officeDocument/2006/relationships">
  <rcc rId="374" sId="1">
    <nc r="G190">
      <f>0.205199*1000</f>
    </nc>
  </rcc>
  <rcc rId="375" sId="1">
    <nc r="I190">
      <f>0.079715*1000</f>
    </nc>
  </rcc>
  <rcc rId="376" sId="2" odxf="1" dxf="1">
    <nc r="F193">
      <f>0.205199*1000</f>
    </nc>
    <odxf>
      <alignment horizontal="general" vertical="bottom" readingOrder="0"/>
    </odxf>
    <ndxf>
      <alignment horizontal="right" vertical="top" readingOrder="0"/>
    </ndxf>
  </rcc>
  <rcc rId="377" sId="2">
    <nc r="E193" t="inlineStr">
      <is>
        <t>294-ТМ/16 от 23.12.216</t>
      </is>
    </nc>
  </rcc>
  <rcc rId="378" sId="3">
    <nc r="E192" t="inlineStr">
      <is>
        <t>294-ТМ/16 от 23.12.216</t>
      </is>
    </nc>
  </rcc>
  <rcc rId="379" sId="3" odxf="1" dxf="1">
    <nc r="F192">
      <f>0.205199*1000</f>
    </nc>
    <odxf>
      <alignment horizontal="general" vertical="bottom" readingOrder="0"/>
    </odxf>
    <ndxf>
      <alignment horizontal="right" vertical="top" readingOrder="0"/>
    </ndxf>
  </rcc>
</revisions>
</file>

<file path=xl/revisions/revisionLog1921.xml><?xml version="1.0" encoding="utf-8"?>
<revisions xmlns="http://schemas.openxmlformats.org/spreadsheetml/2006/main" xmlns:r="http://schemas.openxmlformats.org/officeDocument/2006/relationships">
  <rcc rId="368" sId="1">
    <nc r="G198">
      <f>0.157566*1000</f>
    </nc>
  </rcc>
  <rcc rId="369" sId="1">
    <nc r="I198">
      <f>0.040915*1000</f>
    </nc>
  </rcc>
  <rcc rId="370" sId="2" odxf="1" dxf="1">
    <nc r="F201">
      <f>0.157566*1000</f>
    </nc>
    <odxf>
      <alignment horizontal="general" vertical="bottom" readingOrder="0"/>
    </odxf>
    <ndxf>
      <alignment horizontal="right" vertical="top" readingOrder="0"/>
    </ndxf>
  </rcc>
  <rcc rId="371" sId="2">
    <nc r="E201" t="inlineStr">
      <is>
        <t>293-ТМ/16 от 23.12.2016</t>
      </is>
    </nc>
  </rcc>
  <rcc rId="372" sId="3">
    <nc r="E200" t="inlineStr">
      <is>
        <t>293-ТМ/16 от 23.12.2016</t>
      </is>
    </nc>
  </rcc>
  <rcc rId="373" sId="3" odxf="1" dxf="1">
    <nc r="F200">
      <f>0.157566*1000</f>
    </nc>
    <odxf>
      <alignment horizontal="general" vertical="bottom" readingOrder="0"/>
    </odxf>
    <ndxf>
      <alignment horizontal="right" vertical="top" readingOrder="0"/>
    </ndxf>
  </rcc>
</revisions>
</file>

<file path=xl/revisions/revisionLog19211.xml><?xml version="1.0" encoding="utf-8"?>
<revisions xmlns="http://schemas.openxmlformats.org/spreadsheetml/2006/main" xmlns:r="http://schemas.openxmlformats.org/officeDocument/2006/relationships">
  <rcc rId="356" sId="1">
    <nc r="G194">
      <f>0.157048*1000</f>
    </nc>
  </rcc>
  <rcc rId="357" sId="1">
    <nc r="I194">
      <f>0.04923*1000</f>
    </nc>
  </rcc>
  <rcc rId="358" sId="2" odxf="1" dxf="1">
    <nc r="F197">
      <f>0.157048*1000</f>
    </nc>
    <odxf>
      <alignment horizontal="general" vertical="bottom" readingOrder="0"/>
    </odxf>
    <ndxf>
      <alignment horizontal="right" vertical="top" readingOrder="0"/>
    </ndxf>
  </rcc>
  <rcc rId="359" sId="2">
    <nc r="E197" t="inlineStr">
      <is>
        <t>291-ТМ/16 от 23.12.216</t>
      </is>
    </nc>
  </rcc>
  <rcc rId="360" sId="3">
    <nc r="E196" t="inlineStr">
      <is>
        <t>291-ТМ/16 от 23.12.216</t>
      </is>
    </nc>
  </rcc>
  <rcc rId="361" sId="3" odxf="1" dxf="1">
    <nc r="F196">
      <f>0.157048*1000</f>
    </nc>
    <odxf>
      <alignment horizontal="general" vertical="bottom" readingOrder="0"/>
    </odxf>
    <ndxf>
      <alignment horizontal="right" vertical="top" readingOrder="0"/>
    </ndxf>
  </rcc>
</revisions>
</file>

<file path=xl/revisions/userNames.xml><?xml version="1.0" encoding="utf-8"?>
<users xmlns="http://schemas.openxmlformats.org/spreadsheetml/2006/main" xmlns:r="http://schemas.openxmlformats.org/officeDocument/2006/relationships" count="2">
  <userInfo guid="{D9D3025E-CBB3-419D-8729-79A085E92F54}" name="Белова-АЮ" id="-1959855992" dateTime="2017-03-29T15:30:38"/>
  <userInfo guid="{949E6B7F-A902-4939-93D6-2F72C5372D5B}" name="Белова-АЮ" id="-1959892456" dateTime="2017-03-30T14:39:01"/>
</user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67"/>
  <sheetViews>
    <sheetView workbookViewId="0">
      <pane xSplit="5" ySplit="6" topLeftCell="F259" activePane="bottomRight" state="frozen"/>
      <selection pane="topRight" activeCell="F1" sqref="F1"/>
      <selection pane="bottomLeft" activeCell="A7" sqref="A7"/>
      <selection pane="bottomRight" activeCell="E273" sqref="E273"/>
    </sheetView>
  </sheetViews>
  <sheetFormatPr defaultRowHeight="15.75"/>
  <cols>
    <col min="1" max="1" width="9.140625" style="1"/>
    <col min="2" max="2" width="33.140625" style="1" customWidth="1"/>
    <col min="3" max="3" width="9.42578125" style="1" customWidth="1"/>
    <col min="4" max="4" width="23.85546875" style="1" customWidth="1"/>
    <col min="5" max="5" width="18.7109375" style="1" customWidth="1"/>
    <col min="6" max="6" width="16.140625" style="1" customWidth="1"/>
    <col min="7" max="7" width="13.85546875" style="32" customWidth="1"/>
    <col min="8" max="9" width="13.85546875" style="1" customWidth="1"/>
    <col min="10" max="12" width="12.5703125" style="1" customWidth="1"/>
    <col min="13" max="16384" width="9.140625" style="1"/>
  </cols>
  <sheetData>
    <row r="1" spans="2:12">
      <c r="E1" s="2"/>
      <c r="L1" s="1" t="s">
        <v>1</v>
      </c>
    </row>
    <row r="2" spans="2:12" ht="18.75">
      <c r="B2" s="50" t="s">
        <v>0</v>
      </c>
      <c r="C2" s="50"/>
      <c r="D2" s="50"/>
      <c r="E2" s="50"/>
      <c r="F2" s="50"/>
      <c r="G2" s="50"/>
      <c r="H2" s="50"/>
      <c r="I2" s="50"/>
      <c r="J2" s="50"/>
      <c r="K2" s="50"/>
      <c r="L2" s="50"/>
    </row>
    <row r="4" spans="2:12" s="4" customFormat="1">
      <c r="B4" s="51" t="s">
        <v>2</v>
      </c>
      <c r="C4" s="51" t="s">
        <v>3</v>
      </c>
      <c r="D4" s="51" t="s">
        <v>4</v>
      </c>
      <c r="E4" s="51" t="s">
        <v>268</v>
      </c>
      <c r="F4" s="52" t="s">
        <v>8</v>
      </c>
      <c r="G4" s="52"/>
      <c r="H4" s="52"/>
      <c r="I4" s="52"/>
      <c r="J4" s="52"/>
      <c r="K4" s="52"/>
      <c r="L4" s="52"/>
    </row>
    <row r="5" spans="2:12" s="4" customFormat="1">
      <c r="B5" s="51"/>
      <c r="C5" s="51"/>
      <c r="D5" s="51"/>
      <c r="E5" s="51"/>
      <c r="F5" s="51" t="s">
        <v>5</v>
      </c>
      <c r="G5" s="52" t="s">
        <v>10</v>
      </c>
      <c r="H5" s="52"/>
      <c r="I5" s="52"/>
      <c r="J5" s="52" t="s">
        <v>11</v>
      </c>
      <c r="K5" s="52"/>
      <c r="L5" s="52"/>
    </row>
    <row r="6" spans="2:12" s="5" customFormat="1" ht="47.25" customHeight="1">
      <c r="B6" s="51"/>
      <c r="C6" s="51"/>
      <c r="D6" s="51"/>
      <c r="E6" s="51"/>
      <c r="F6" s="51"/>
      <c r="G6" s="25" t="s">
        <v>5</v>
      </c>
      <c r="H6" s="25" t="s">
        <v>6</v>
      </c>
      <c r="I6" s="25" t="s">
        <v>7</v>
      </c>
      <c r="J6" s="25" t="s">
        <v>5</v>
      </c>
      <c r="K6" s="25" t="s">
        <v>6</v>
      </c>
      <c r="L6" s="25" t="s">
        <v>7</v>
      </c>
    </row>
    <row r="7" spans="2:12">
      <c r="B7" s="18" t="s">
        <v>27</v>
      </c>
      <c r="C7" s="6" t="s">
        <v>203</v>
      </c>
      <c r="D7" s="6" t="s">
        <v>287</v>
      </c>
      <c r="E7" s="7">
        <v>48706.42</v>
      </c>
      <c r="F7" s="6">
        <f t="shared" ref="F7:F70" si="0">G7</f>
        <v>71.2</v>
      </c>
      <c r="G7" s="6">
        <f>0.0712*1000</f>
        <v>71.2</v>
      </c>
      <c r="H7" s="6">
        <f t="shared" ref="H7:H70" si="1">G7-I7</f>
        <v>70.745000000000005</v>
      </c>
      <c r="I7" s="6">
        <f>0.000455*1000</f>
        <v>0.45500000000000002</v>
      </c>
      <c r="J7" s="8" t="s">
        <v>457</v>
      </c>
      <c r="K7" s="8" t="s">
        <v>457</v>
      </c>
      <c r="L7" s="8" t="s">
        <v>457</v>
      </c>
    </row>
    <row r="8" spans="2:12" ht="26.25">
      <c r="B8" s="18" t="s">
        <v>28</v>
      </c>
      <c r="C8" s="6" t="s">
        <v>203</v>
      </c>
      <c r="D8" s="6" t="s">
        <v>288</v>
      </c>
      <c r="E8" s="7">
        <v>69148.7</v>
      </c>
      <c r="F8" s="6">
        <f t="shared" si="0"/>
        <v>95.673999999999992</v>
      </c>
      <c r="G8" s="6">
        <f>0.095674*1000</f>
        <v>95.673999999999992</v>
      </c>
      <c r="H8" s="6">
        <f t="shared" si="1"/>
        <v>95.109999999999985</v>
      </c>
      <c r="I8" s="6">
        <f>0.000564*1000</f>
        <v>0.56400000000000006</v>
      </c>
      <c r="J8" s="8" t="s">
        <v>457</v>
      </c>
      <c r="K8" s="8" t="s">
        <v>457</v>
      </c>
      <c r="L8" s="8" t="s">
        <v>457</v>
      </c>
    </row>
    <row r="9" spans="2:12">
      <c r="B9" s="18" t="s">
        <v>29</v>
      </c>
      <c r="C9" s="6" t="s">
        <v>203</v>
      </c>
      <c r="D9" s="6" t="s">
        <v>288</v>
      </c>
      <c r="E9" s="7">
        <v>69148.7</v>
      </c>
      <c r="F9" s="6">
        <f t="shared" si="0"/>
        <v>95.673999999999992</v>
      </c>
      <c r="G9" s="6">
        <f>0.095674*1000</f>
        <v>95.673999999999992</v>
      </c>
      <c r="H9" s="6">
        <f t="shared" si="1"/>
        <v>95.109999999999985</v>
      </c>
      <c r="I9" s="6">
        <f>0.000564*1000</f>
        <v>0.56400000000000006</v>
      </c>
      <c r="J9" s="8" t="s">
        <v>457</v>
      </c>
      <c r="K9" s="8" t="s">
        <v>457</v>
      </c>
      <c r="L9" s="8" t="s">
        <v>457</v>
      </c>
    </row>
    <row r="10" spans="2:12">
      <c r="B10" s="18" t="s">
        <v>30</v>
      </c>
      <c r="C10" s="6" t="s">
        <v>203</v>
      </c>
      <c r="D10" s="6" t="s">
        <v>288</v>
      </c>
      <c r="E10" s="7">
        <v>69148.7</v>
      </c>
      <c r="F10" s="6">
        <f t="shared" si="0"/>
        <v>95.673999999999992</v>
      </c>
      <c r="G10" s="6">
        <f>0.095674*1000</f>
        <v>95.673999999999992</v>
      </c>
      <c r="H10" s="6">
        <f t="shared" si="1"/>
        <v>95.109999999999985</v>
      </c>
      <c r="I10" s="6">
        <f>0.000564*1000</f>
        <v>0.56400000000000006</v>
      </c>
      <c r="J10" s="8" t="s">
        <v>457</v>
      </c>
      <c r="K10" s="8" t="s">
        <v>457</v>
      </c>
      <c r="L10" s="8" t="s">
        <v>457</v>
      </c>
    </row>
    <row r="11" spans="2:12">
      <c r="B11" s="18" t="s">
        <v>31</v>
      </c>
      <c r="C11" s="6" t="s">
        <v>203</v>
      </c>
      <c r="D11" s="6" t="s">
        <v>288</v>
      </c>
      <c r="E11" s="7">
        <v>69152.89</v>
      </c>
      <c r="F11" s="6">
        <f t="shared" si="0"/>
        <v>95.727000000000004</v>
      </c>
      <c r="G11" s="6">
        <f>0.095727*1000</f>
        <v>95.727000000000004</v>
      </c>
      <c r="H11" s="6">
        <f t="shared" si="1"/>
        <v>95.163000000000011</v>
      </c>
      <c r="I11" s="6">
        <f>0.000564*1000</f>
        <v>0.56400000000000006</v>
      </c>
      <c r="J11" s="8" t="s">
        <v>457</v>
      </c>
      <c r="K11" s="8" t="s">
        <v>457</v>
      </c>
      <c r="L11" s="8" t="s">
        <v>457</v>
      </c>
    </row>
    <row r="12" spans="2:12" ht="26.25">
      <c r="B12" s="18" t="s">
        <v>32</v>
      </c>
      <c r="C12" s="6" t="s">
        <v>203</v>
      </c>
      <c r="D12" s="6" t="s">
        <v>289</v>
      </c>
      <c r="E12" s="7">
        <v>49863.53</v>
      </c>
      <c r="F12" s="6">
        <f t="shared" si="0"/>
        <v>69.90100000000001</v>
      </c>
      <c r="G12" s="6">
        <f>0.069901*1000</f>
        <v>69.90100000000001</v>
      </c>
      <c r="H12" s="6">
        <f t="shared" si="1"/>
        <v>69.362000000000009</v>
      </c>
      <c r="I12" s="6">
        <f>0.000539*1000</f>
        <v>0.53900000000000003</v>
      </c>
      <c r="J12" s="8" t="s">
        <v>457</v>
      </c>
      <c r="K12" s="8" t="s">
        <v>457</v>
      </c>
      <c r="L12" s="8" t="s">
        <v>457</v>
      </c>
    </row>
    <row r="13" spans="2:12">
      <c r="B13" s="18" t="s">
        <v>33</v>
      </c>
      <c r="C13" s="6" t="s">
        <v>203</v>
      </c>
      <c r="D13" s="6" t="s">
        <v>288</v>
      </c>
      <c r="E13" s="7">
        <v>69148.7</v>
      </c>
      <c r="F13" s="6">
        <f t="shared" si="0"/>
        <v>95.673999999999992</v>
      </c>
      <c r="G13" s="6">
        <f>0.095674*1000</f>
        <v>95.673999999999992</v>
      </c>
      <c r="H13" s="6">
        <f t="shared" si="1"/>
        <v>95.02</v>
      </c>
      <c r="I13" s="6">
        <f>0.000654*1000</f>
        <v>0.65399999999999991</v>
      </c>
      <c r="J13" s="8" t="s">
        <v>457</v>
      </c>
      <c r="K13" s="8" t="s">
        <v>457</v>
      </c>
      <c r="L13" s="8" t="s">
        <v>457</v>
      </c>
    </row>
    <row r="14" spans="2:12">
      <c r="B14" s="18" t="s">
        <v>34</v>
      </c>
      <c r="C14" s="6" t="s">
        <v>203</v>
      </c>
      <c r="D14" s="6" t="s">
        <v>290</v>
      </c>
      <c r="E14" s="7">
        <v>86720.78</v>
      </c>
      <c r="F14" s="6">
        <f t="shared" si="0"/>
        <v>118.267</v>
      </c>
      <c r="G14" s="6">
        <f>0.118267*1000</f>
        <v>118.267</v>
      </c>
      <c r="H14" s="6">
        <f t="shared" si="1"/>
        <v>117.547</v>
      </c>
      <c r="I14" s="6">
        <f>0.00072*1000</f>
        <v>0.72000000000000008</v>
      </c>
      <c r="J14" s="8" t="s">
        <v>457</v>
      </c>
      <c r="K14" s="8" t="s">
        <v>457</v>
      </c>
      <c r="L14" s="8" t="s">
        <v>457</v>
      </c>
    </row>
    <row r="15" spans="2:12" ht="25.5">
      <c r="B15" s="48" t="s">
        <v>35</v>
      </c>
      <c r="C15" s="6" t="s">
        <v>203</v>
      </c>
      <c r="D15" s="6" t="s">
        <v>291</v>
      </c>
      <c r="E15" s="9">
        <v>72800.960000000006</v>
      </c>
      <c r="F15" s="6">
        <f t="shared" si="0"/>
        <v>72.8</v>
      </c>
      <c r="G15" s="6">
        <f>0.0728*1000</f>
        <v>72.8</v>
      </c>
      <c r="H15" s="6">
        <f t="shared" si="1"/>
        <v>64.040999999999997</v>
      </c>
      <c r="I15" s="6">
        <f>0.008759*1000</f>
        <v>8.7589999999999986</v>
      </c>
      <c r="J15" s="8" t="s">
        <v>457</v>
      </c>
      <c r="K15" s="8" t="s">
        <v>457</v>
      </c>
      <c r="L15" s="8" t="s">
        <v>457</v>
      </c>
    </row>
    <row r="16" spans="2:12" ht="25.5">
      <c r="B16" s="48" t="s">
        <v>36</v>
      </c>
      <c r="C16" s="6" t="s">
        <v>203</v>
      </c>
      <c r="D16" s="6" t="s">
        <v>292</v>
      </c>
      <c r="E16" s="7">
        <v>51923.38</v>
      </c>
      <c r="F16" s="6">
        <f t="shared" si="0"/>
        <v>51.922999999999995</v>
      </c>
      <c r="G16" s="6">
        <f>0.051923*1000</f>
        <v>51.922999999999995</v>
      </c>
      <c r="H16" s="6">
        <f t="shared" si="1"/>
        <v>45.428999999999995</v>
      </c>
      <c r="I16" s="6">
        <f>0.006494*1000</f>
        <v>6.4939999999999998</v>
      </c>
      <c r="J16" s="8" t="s">
        <v>457</v>
      </c>
      <c r="K16" s="8" t="s">
        <v>457</v>
      </c>
      <c r="L16" s="8" t="s">
        <v>457</v>
      </c>
    </row>
    <row r="17" spans="2:12" ht="25.5">
      <c r="B17" s="48" t="s">
        <v>37</v>
      </c>
      <c r="C17" s="6" t="s">
        <v>203</v>
      </c>
      <c r="D17" s="6" t="s">
        <v>293</v>
      </c>
      <c r="E17" s="7">
        <v>63771.32</v>
      </c>
      <c r="F17" s="6">
        <f t="shared" si="0"/>
        <v>63.770999999999994</v>
      </c>
      <c r="G17" s="6">
        <f>0.063771*1000</f>
        <v>63.770999999999994</v>
      </c>
      <c r="H17" s="6">
        <f t="shared" si="1"/>
        <v>56.078999999999994</v>
      </c>
      <c r="I17" s="6">
        <f>0.007692*1000</f>
        <v>7.6920000000000002</v>
      </c>
      <c r="J17" s="8" t="s">
        <v>457</v>
      </c>
      <c r="K17" s="8" t="s">
        <v>457</v>
      </c>
      <c r="L17" s="8" t="s">
        <v>457</v>
      </c>
    </row>
    <row r="18" spans="2:12" ht="25.5">
      <c r="B18" s="48" t="s">
        <v>38</v>
      </c>
      <c r="C18" s="6" t="s">
        <v>203</v>
      </c>
      <c r="D18" s="6" t="s">
        <v>294</v>
      </c>
      <c r="E18" s="7">
        <v>62159.81</v>
      </c>
      <c r="F18" s="6">
        <f t="shared" si="0"/>
        <v>51.308</v>
      </c>
      <c r="G18" s="6">
        <f>0.051308*1000</f>
        <v>51.308</v>
      </c>
      <c r="H18" s="6">
        <f t="shared" si="1"/>
        <v>36.549999999999997</v>
      </c>
      <c r="I18" s="6">
        <f>0.014758*1000</f>
        <v>14.758000000000001</v>
      </c>
      <c r="J18" s="8" t="s">
        <v>457</v>
      </c>
      <c r="K18" s="8" t="s">
        <v>457</v>
      </c>
      <c r="L18" s="8" t="s">
        <v>457</v>
      </c>
    </row>
    <row r="19" spans="2:12" ht="25.5">
      <c r="B19" s="48" t="s">
        <v>39</v>
      </c>
      <c r="C19" s="6" t="s">
        <v>203</v>
      </c>
      <c r="D19" s="6" t="s">
        <v>295</v>
      </c>
      <c r="E19" s="10">
        <v>75516.2</v>
      </c>
      <c r="F19" s="6">
        <f t="shared" si="0"/>
        <v>75.516000000000005</v>
      </c>
      <c r="G19" s="6">
        <f>0.075516*1000</f>
        <v>75.516000000000005</v>
      </c>
      <c r="H19" s="6">
        <f t="shared" si="1"/>
        <v>66.205000000000013</v>
      </c>
      <c r="I19" s="6">
        <f>0.009311*1000</f>
        <v>9.3109999999999999</v>
      </c>
      <c r="J19" s="8" t="s">
        <v>457</v>
      </c>
      <c r="K19" s="8" t="s">
        <v>457</v>
      </c>
      <c r="L19" s="8" t="s">
        <v>457</v>
      </c>
    </row>
    <row r="20" spans="2:12" ht="25.5">
      <c r="B20" s="48" t="s">
        <v>40</v>
      </c>
      <c r="C20" s="6" t="s">
        <v>203</v>
      </c>
      <c r="D20" s="6" t="s">
        <v>296</v>
      </c>
      <c r="E20" s="10">
        <v>160788.31</v>
      </c>
      <c r="F20" s="6">
        <f t="shared" si="0"/>
        <v>160.78799999999998</v>
      </c>
      <c r="G20" s="6">
        <f>0.160788*1000</f>
        <v>160.78799999999998</v>
      </c>
      <c r="H20" s="6">
        <f t="shared" si="1"/>
        <v>101.66099999999997</v>
      </c>
      <c r="I20" s="6">
        <f>0.059127*1000</f>
        <v>59.127000000000002</v>
      </c>
      <c r="J20" s="8" t="s">
        <v>457</v>
      </c>
      <c r="K20" s="8" t="s">
        <v>457</v>
      </c>
      <c r="L20" s="8" t="s">
        <v>457</v>
      </c>
    </row>
    <row r="21" spans="2:12" ht="25.5">
      <c r="B21" s="48" t="s">
        <v>41</v>
      </c>
      <c r="C21" s="6" t="s">
        <v>203</v>
      </c>
      <c r="D21" s="6" t="s">
        <v>616</v>
      </c>
      <c r="E21" s="7">
        <v>171592.65</v>
      </c>
      <c r="F21" s="6">
        <f t="shared" si="0"/>
        <v>171.59199999999998</v>
      </c>
      <c r="G21" s="6">
        <f>0.171592*1000</f>
        <v>171.59199999999998</v>
      </c>
      <c r="H21" s="6">
        <f t="shared" si="1"/>
        <v>104.64999999999998</v>
      </c>
      <c r="I21" s="6">
        <f>0.066942*1000</f>
        <v>66.942000000000007</v>
      </c>
      <c r="J21" s="8" t="s">
        <v>457</v>
      </c>
      <c r="K21" s="8" t="s">
        <v>457</v>
      </c>
      <c r="L21" s="8" t="s">
        <v>457</v>
      </c>
    </row>
    <row r="22" spans="2:12" ht="38.25">
      <c r="B22" s="48" t="s">
        <v>42</v>
      </c>
      <c r="C22" s="6" t="s">
        <v>203</v>
      </c>
      <c r="D22" s="6" t="s">
        <v>297</v>
      </c>
      <c r="E22" s="7">
        <v>128179.55</v>
      </c>
      <c r="F22" s="6">
        <f t="shared" si="0"/>
        <v>81.855000000000004</v>
      </c>
      <c r="G22" s="6">
        <f>0.081855*1000</f>
        <v>81.855000000000004</v>
      </c>
      <c r="H22" s="6">
        <f t="shared" si="1"/>
        <v>53.5</v>
      </c>
      <c r="I22" s="6">
        <f>0.028355*1000</f>
        <v>28.355</v>
      </c>
      <c r="J22" s="8" t="s">
        <v>457</v>
      </c>
      <c r="K22" s="8" t="s">
        <v>457</v>
      </c>
      <c r="L22" s="8" t="s">
        <v>457</v>
      </c>
    </row>
    <row r="23" spans="2:12" ht="25.5">
      <c r="B23" s="48" t="s">
        <v>43</v>
      </c>
      <c r="C23" s="6" t="s">
        <v>203</v>
      </c>
      <c r="D23" s="6" t="s">
        <v>298</v>
      </c>
      <c r="E23" s="7">
        <v>126572.15</v>
      </c>
      <c r="F23" s="6">
        <f t="shared" si="0"/>
        <v>126.57199999999999</v>
      </c>
      <c r="G23" s="6">
        <f>0.126572*1000</f>
        <v>126.57199999999999</v>
      </c>
      <c r="H23" s="6">
        <f t="shared" si="1"/>
        <v>78.632999999999981</v>
      </c>
      <c r="I23" s="6">
        <f>0.047939*1000</f>
        <v>47.939</v>
      </c>
      <c r="J23" s="8" t="s">
        <v>457</v>
      </c>
      <c r="K23" s="8" t="s">
        <v>457</v>
      </c>
      <c r="L23" s="8" t="s">
        <v>457</v>
      </c>
    </row>
    <row r="24" spans="2:12" ht="25.5">
      <c r="B24" s="48" t="s">
        <v>44</v>
      </c>
      <c r="C24" s="6" t="s">
        <v>203</v>
      </c>
      <c r="D24" s="6" t="s">
        <v>617</v>
      </c>
      <c r="E24" s="10">
        <v>183851.44</v>
      </c>
      <c r="F24" s="6">
        <f t="shared" si="0"/>
        <v>183.851</v>
      </c>
      <c r="G24" s="6">
        <f>0.183851*1000</f>
        <v>183.851</v>
      </c>
      <c r="H24" s="6">
        <f t="shared" si="1"/>
        <v>128.523</v>
      </c>
      <c r="I24" s="6">
        <f>0.055328*1000</f>
        <v>55.328000000000003</v>
      </c>
      <c r="J24" s="8" t="s">
        <v>457</v>
      </c>
      <c r="K24" s="8" t="s">
        <v>457</v>
      </c>
      <c r="L24" s="8" t="s">
        <v>457</v>
      </c>
    </row>
    <row r="25" spans="2:12" ht="25.5">
      <c r="B25" s="48" t="s">
        <v>45</v>
      </c>
      <c r="C25" s="6" t="s">
        <v>203</v>
      </c>
      <c r="D25" s="6" t="s">
        <v>299</v>
      </c>
      <c r="E25" s="7">
        <v>193197.97</v>
      </c>
      <c r="F25" s="6">
        <f t="shared" si="0"/>
        <v>193.197</v>
      </c>
      <c r="G25" s="6">
        <f>0.193197*1000</f>
        <v>193.197</v>
      </c>
      <c r="H25" s="6">
        <f t="shared" si="1"/>
        <v>103.35899999999999</v>
      </c>
      <c r="I25" s="6">
        <f>0.089838*1000</f>
        <v>89.838000000000008</v>
      </c>
      <c r="J25" s="8" t="s">
        <v>457</v>
      </c>
      <c r="K25" s="8" t="s">
        <v>457</v>
      </c>
      <c r="L25" s="8" t="s">
        <v>457</v>
      </c>
    </row>
    <row r="26" spans="2:12" ht="25.5">
      <c r="B26" s="48" t="s">
        <v>46</v>
      </c>
      <c r="C26" s="6" t="s">
        <v>203</v>
      </c>
      <c r="D26" s="6" t="s">
        <v>301</v>
      </c>
      <c r="E26" s="7">
        <v>45843.45</v>
      </c>
      <c r="F26" s="6">
        <f t="shared" si="0"/>
        <v>45.843000000000004</v>
      </c>
      <c r="G26" s="6">
        <f>0.045843*1000</f>
        <v>45.843000000000004</v>
      </c>
      <c r="H26" s="6">
        <f t="shared" si="1"/>
        <v>33.075000000000003</v>
      </c>
      <c r="I26" s="6">
        <f>0.012768*1000</f>
        <v>12.768000000000001</v>
      </c>
      <c r="J26" s="8" t="s">
        <v>457</v>
      </c>
      <c r="K26" s="8" t="s">
        <v>457</v>
      </c>
      <c r="L26" s="8" t="s">
        <v>457</v>
      </c>
    </row>
    <row r="27" spans="2:12" ht="25.5">
      <c r="B27" s="48" t="s">
        <v>47</v>
      </c>
      <c r="C27" s="6" t="s">
        <v>203</v>
      </c>
      <c r="D27" s="6" t="s">
        <v>302</v>
      </c>
      <c r="E27" s="10">
        <v>47105.79</v>
      </c>
      <c r="F27" s="6">
        <f t="shared" si="0"/>
        <v>47.105000000000004</v>
      </c>
      <c r="G27" s="6">
        <f>0.047105*1000</f>
        <v>47.105000000000004</v>
      </c>
      <c r="H27" s="6">
        <f t="shared" si="1"/>
        <v>34.118000000000002</v>
      </c>
      <c r="I27" s="6">
        <f>0.012987*1000</f>
        <v>12.987</v>
      </c>
      <c r="J27" s="8" t="s">
        <v>457</v>
      </c>
      <c r="K27" s="8" t="s">
        <v>457</v>
      </c>
      <c r="L27" s="8" t="s">
        <v>457</v>
      </c>
    </row>
    <row r="28" spans="2:12" ht="25.5">
      <c r="B28" s="48" t="s">
        <v>48</v>
      </c>
      <c r="C28" s="6" t="s">
        <v>203</v>
      </c>
      <c r="D28" s="6" t="s">
        <v>300</v>
      </c>
      <c r="E28" s="10">
        <v>123164.95</v>
      </c>
      <c r="F28" s="6">
        <f t="shared" si="0"/>
        <v>123.164</v>
      </c>
      <c r="G28" s="6">
        <f>0.123164*1000</f>
        <v>123.164</v>
      </c>
      <c r="H28" s="6">
        <f t="shared" si="1"/>
        <v>58.515000000000001</v>
      </c>
      <c r="I28" s="6">
        <f>0.064649*1000</f>
        <v>64.649000000000001</v>
      </c>
      <c r="J28" s="8" t="s">
        <v>457</v>
      </c>
      <c r="K28" s="8" t="s">
        <v>457</v>
      </c>
      <c r="L28" s="8" t="s">
        <v>457</v>
      </c>
    </row>
    <row r="29" spans="2:12" ht="25.5">
      <c r="B29" s="48" t="s">
        <v>49</v>
      </c>
      <c r="C29" s="6" t="s">
        <v>203</v>
      </c>
      <c r="D29" s="6" t="s">
        <v>303</v>
      </c>
      <c r="E29" s="10">
        <v>127846.93</v>
      </c>
      <c r="F29" s="6">
        <f t="shared" si="0"/>
        <v>127.84599999999999</v>
      </c>
      <c r="G29" s="6">
        <f>0.127846*1000</f>
        <v>127.84599999999999</v>
      </c>
      <c r="H29" s="6">
        <f t="shared" si="1"/>
        <v>71.302999999999983</v>
      </c>
      <c r="I29" s="6">
        <f>0.056543*1000</f>
        <v>56.543000000000006</v>
      </c>
      <c r="J29" s="8" t="s">
        <v>457</v>
      </c>
      <c r="K29" s="8" t="s">
        <v>457</v>
      </c>
      <c r="L29" s="8" t="s">
        <v>457</v>
      </c>
    </row>
    <row r="30" spans="2:12" ht="25.5">
      <c r="B30" s="48" t="s">
        <v>50</v>
      </c>
      <c r="C30" s="6" t="s">
        <v>203</v>
      </c>
      <c r="D30" s="6" t="s">
        <v>297</v>
      </c>
      <c r="E30" s="10">
        <v>169206.51</v>
      </c>
      <c r="F30" s="6">
        <f t="shared" si="0"/>
        <v>126.09699999999998</v>
      </c>
      <c r="G30" s="6">
        <f>0.126097*1000</f>
        <v>126.09699999999998</v>
      </c>
      <c r="H30" s="6">
        <f t="shared" si="1"/>
        <v>91.560999999999979</v>
      </c>
      <c r="I30" s="6">
        <f>0.034536*1000</f>
        <v>34.535999999999994</v>
      </c>
      <c r="J30" s="8" t="s">
        <v>457</v>
      </c>
      <c r="K30" s="8" t="s">
        <v>457</v>
      </c>
      <c r="L30" s="8" t="s">
        <v>457</v>
      </c>
    </row>
    <row r="31" spans="2:12" ht="25.5">
      <c r="B31" s="48" t="s">
        <v>51</v>
      </c>
      <c r="C31" s="6" t="s">
        <v>203</v>
      </c>
      <c r="D31" s="6" t="s">
        <v>348</v>
      </c>
      <c r="E31" s="7">
        <v>53880.24</v>
      </c>
      <c r="F31" s="6">
        <f t="shared" si="0"/>
        <v>53.879999999999995</v>
      </c>
      <c r="G31" s="6">
        <f>0.05388*1000</f>
        <v>53.879999999999995</v>
      </c>
      <c r="H31" s="6">
        <f t="shared" si="1"/>
        <v>47.285999999999994</v>
      </c>
      <c r="I31" s="6">
        <f>0.006594*1000</f>
        <v>6.5940000000000003</v>
      </c>
      <c r="J31" s="8" t="s">
        <v>457</v>
      </c>
      <c r="K31" s="8" t="s">
        <v>457</v>
      </c>
      <c r="L31" s="8" t="s">
        <v>457</v>
      </c>
    </row>
    <row r="32" spans="2:12" ht="25.5">
      <c r="B32" s="48" t="s">
        <v>52</v>
      </c>
      <c r="C32" s="6" t="s">
        <v>203</v>
      </c>
      <c r="D32" s="6" t="s">
        <v>618</v>
      </c>
      <c r="E32" s="10">
        <v>269517.62</v>
      </c>
      <c r="F32" s="6">
        <f t="shared" si="0"/>
        <v>269.52100000000002</v>
      </c>
      <c r="G32" s="6">
        <f>0.269521*1000</f>
        <v>269.52100000000002</v>
      </c>
      <c r="H32" s="6">
        <f t="shared" si="1"/>
        <v>132.51700000000002</v>
      </c>
      <c r="I32" s="6">
        <f>0.137004*1000</f>
        <v>137.00399999999999</v>
      </c>
      <c r="J32" s="8" t="s">
        <v>457</v>
      </c>
      <c r="K32" s="8" t="s">
        <v>457</v>
      </c>
      <c r="L32" s="8" t="s">
        <v>457</v>
      </c>
    </row>
    <row r="33" spans="1:15" ht="25.5">
      <c r="B33" s="48" t="s">
        <v>53</v>
      </c>
      <c r="C33" s="6" t="s">
        <v>203</v>
      </c>
      <c r="D33" s="6" t="s">
        <v>619</v>
      </c>
      <c r="E33" s="10">
        <v>261882.15</v>
      </c>
      <c r="F33" s="6">
        <f t="shared" si="0"/>
        <v>261.98599999999999</v>
      </c>
      <c r="G33" s="6">
        <f>0.261986*1000</f>
        <v>261.98599999999999</v>
      </c>
      <c r="H33" s="6">
        <f t="shared" si="1"/>
        <v>141.14400000000001</v>
      </c>
      <c r="I33" s="6">
        <f>0.120842*1000</f>
        <v>120.842</v>
      </c>
      <c r="J33" s="8" t="s">
        <v>457</v>
      </c>
      <c r="K33" s="8" t="s">
        <v>457</v>
      </c>
      <c r="L33" s="8" t="s">
        <v>457</v>
      </c>
    </row>
    <row r="34" spans="1:15" ht="25.5">
      <c r="B34" s="48" t="s">
        <v>54</v>
      </c>
      <c r="C34" s="6" t="s">
        <v>203</v>
      </c>
      <c r="D34" s="6" t="s">
        <v>304</v>
      </c>
      <c r="E34" s="10">
        <v>82072.81</v>
      </c>
      <c r="F34" s="6">
        <f t="shared" si="0"/>
        <v>0</v>
      </c>
      <c r="G34" s="6">
        <v>0</v>
      </c>
      <c r="H34" s="6">
        <f t="shared" si="1"/>
        <v>0</v>
      </c>
      <c r="I34" s="6">
        <v>0</v>
      </c>
      <c r="J34" s="8" t="s">
        <v>457</v>
      </c>
      <c r="K34" s="8" t="s">
        <v>457</v>
      </c>
      <c r="L34" s="8" t="s">
        <v>457</v>
      </c>
    </row>
    <row r="35" spans="1:15" ht="25.5">
      <c r="A35" s="11"/>
      <c r="B35" s="48" t="s">
        <v>55</v>
      </c>
      <c r="C35" s="6" t="s">
        <v>203</v>
      </c>
      <c r="D35" s="6" t="s">
        <v>305</v>
      </c>
      <c r="E35" s="7">
        <v>68031.25</v>
      </c>
      <c r="F35" s="6">
        <f t="shared" si="0"/>
        <v>68.030999999999992</v>
      </c>
      <c r="G35" s="6">
        <f>0.068031*1000</f>
        <v>68.030999999999992</v>
      </c>
      <c r="H35" s="6">
        <f t="shared" si="1"/>
        <v>59.97399999999999</v>
      </c>
      <c r="I35" s="6">
        <f>0.008057*1000</f>
        <v>8.0570000000000004</v>
      </c>
      <c r="J35" s="8" t="s">
        <v>457</v>
      </c>
      <c r="K35" s="8" t="s">
        <v>457</v>
      </c>
      <c r="L35" s="8" t="s">
        <v>457</v>
      </c>
    </row>
    <row r="36" spans="1:15" s="11" customFormat="1">
      <c r="B36" s="48" t="s">
        <v>56</v>
      </c>
      <c r="C36" s="12" t="s">
        <v>203</v>
      </c>
      <c r="D36" s="12" t="s">
        <v>306</v>
      </c>
      <c r="E36" s="10">
        <v>65913.38</v>
      </c>
      <c r="F36" s="6">
        <f t="shared" si="0"/>
        <v>54.137999999999998</v>
      </c>
      <c r="G36" s="12">
        <f>0.054138*1000</f>
        <v>54.137999999999998</v>
      </c>
      <c r="H36" s="6">
        <f t="shared" si="1"/>
        <v>40.096999999999994</v>
      </c>
      <c r="I36" s="12">
        <f>0.014041*1000</f>
        <v>14.041</v>
      </c>
      <c r="J36" s="8" t="s">
        <v>457</v>
      </c>
      <c r="K36" s="8" t="s">
        <v>457</v>
      </c>
      <c r="L36" s="8" t="s">
        <v>457</v>
      </c>
      <c r="O36" s="1"/>
    </row>
    <row r="37" spans="1:15" s="11" customFormat="1" ht="25.5">
      <c r="B37" s="48" t="s">
        <v>57</v>
      </c>
      <c r="C37" s="12" t="s">
        <v>203</v>
      </c>
      <c r="D37" s="12" t="s">
        <v>307</v>
      </c>
      <c r="E37" s="10">
        <v>300487.15999999997</v>
      </c>
      <c r="F37" s="6">
        <f t="shared" si="0"/>
        <v>300.48700000000002</v>
      </c>
      <c r="G37" s="12">
        <f>0.300487*1000</f>
        <v>300.48700000000002</v>
      </c>
      <c r="H37" s="6">
        <f t="shared" si="1"/>
        <v>159.47100000000003</v>
      </c>
      <c r="I37" s="12">
        <f>0.141016*1000</f>
        <v>141.01599999999999</v>
      </c>
      <c r="J37" s="8" t="s">
        <v>457</v>
      </c>
      <c r="K37" s="8" t="s">
        <v>457</v>
      </c>
      <c r="L37" s="8" t="s">
        <v>457</v>
      </c>
      <c r="O37" s="1"/>
    </row>
    <row r="38" spans="1:15" ht="25.5">
      <c r="A38" s="11"/>
      <c r="B38" s="48" t="s">
        <v>58</v>
      </c>
      <c r="C38" s="6" t="s">
        <v>203</v>
      </c>
      <c r="D38" s="6" t="s">
        <v>308</v>
      </c>
      <c r="E38" s="7">
        <v>50986.79</v>
      </c>
      <c r="F38" s="6">
        <f t="shared" si="0"/>
        <v>50.985999999999997</v>
      </c>
      <c r="G38" s="6">
        <f>0.050986*1000</f>
        <v>50.985999999999997</v>
      </c>
      <c r="H38" s="6">
        <f t="shared" si="1"/>
        <v>44.722999999999999</v>
      </c>
      <c r="I38" s="6">
        <f>0.006263*1000</f>
        <v>6.2629999999999999</v>
      </c>
      <c r="J38" s="8" t="s">
        <v>457</v>
      </c>
      <c r="K38" s="8" t="s">
        <v>457</v>
      </c>
      <c r="L38" s="8" t="s">
        <v>457</v>
      </c>
    </row>
    <row r="39" spans="1:15" ht="25.5">
      <c r="A39" s="11"/>
      <c r="B39" s="48" t="s">
        <v>59</v>
      </c>
      <c r="C39" s="6" t="s">
        <v>203</v>
      </c>
      <c r="D39" s="6" t="s">
        <v>309</v>
      </c>
      <c r="E39" s="10">
        <v>76861.710000000006</v>
      </c>
      <c r="F39" s="6">
        <f t="shared" si="0"/>
        <v>76.861000000000004</v>
      </c>
      <c r="G39" s="6">
        <f>0.076861*1000</f>
        <v>76.861000000000004</v>
      </c>
      <c r="H39" s="6">
        <f t="shared" si="1"/>
        <v>59.508000000000003</v>
      </c>
      <c r="I39" s="6">
        <f>0.017353*1000</f>
        <v>17.353000000000002</v>
      </c>
      <c r="J39" s="8" t="s">
        <v>457</v>
      </c>
      <c r="K39" s="8" t="s">
        <v>457</v>
      </c>
      <c r="L39" s="8" t="s">
        <v>457</v>
      </c>
    </row>
    <row r="40" spans="1:15" ht="25.5">
      <c r="A40" s="11"/>
      <c r="B40" s="48" t="s">
        <v>60</v>
      </c>
      <c r="C40" s="6" t="s">
        <v>203</v>
      </c>
      <c r="D40" s="6" t="s">
        <v>310</v>
      </c>
      <c r="E40" s="10">
        <v>88853.22</v>
      </c>
      <c r="F40" s="6">
        <f t="shared" si="0"/>
        <v>88.852999999999994</v>
      </c>
      <c r="G40" s="6">
        <f>0.088853*1000</f>
        <v>88.852999999999994</v>
      </c>
      <c r="H40" s="6">
        <f t="shared" si="1"/>
        <v>46.500999999999991</v>
      </c>
      <c r="I40" s="6">
        <f>0.042352*1000</f>
        <v>42.352000000000004</v>
      </c>
      <c r="J40" s="8" t="s">
        <v>457</v>
      </c>
      <c r="K40" s="8" t="s">
        <v>457</v>
      </c>
      <c r="L40" s="8" t="s">
        <v>457</v>
      </c>
    </row>
    <row r="41" spans="1:15" ht="25.5">
      <c r="A41" s="11"/>
      <c r="B41" s="48" t="s">
        <v>61</v>
      </c>
      <c r="C41" s="6" t="s">
        <v>203</v>
      </c>
      <c r="D41" s="6" t="s">
        <v>311</v>
      </c>
      <c r="E41" s="10">
        <v>58570.33</v>
      </c>
      <c r="F41" s="6">
        <f t="shared" si="0"/>
        <v>58.57</v>
      </c>
      <c r="G41" s="6">
        <f>0.05857*1000</f>
        <v>58.57</v>
      </c>
      <c r="H41" s="6">
        <f t="shared" si="1"/>
        <v>36.197000000000003</v>
      </c>
      <c r="I41" s="6">
        <f>0.022373*1000</f>
        <v>22.373000000000001</v>
      </c>
      <c r="J41" s="8" t="s">
        <v>457</v>
      </c>
      <c r="K41" s="8" t="s">
        <v>457</v>
      </c>
      <c r="L41" s="8" t="s">
        <v>457</v>
      </c>
    </row>
    <row r="42" spans="1:15" s="11" customFormat="1" ht="25.5">
      <c r="B42" s="48" t="s">
        <v>62</v>
      </c>
      <c r="C42" s="12" t="s">
        <v>203</v>
      </c>
      <c r="D42" s="12" t="s">
        <v>294</v>
      </c>
      <c r="E42" s="7">
        <v>58071.11</v>
      </c>
      <c r="F42" s="6">
        <f t="shared" si="0"/>
        <v>52.637</v>
      </c>
      <c r="G42" s="12">
        <f>0.052637*1000</f>
        <v>52.637</v>
      </c>
      <c r="H42" s="6">
        <f t="shared" si="1"/>
        <v>37.897999999999996</v>
      </c>
      <c r="I42" s="12">
        <f>0.014739*1000</f>
        <v>14.739000000000001</v>
      </c>
      <c r="J42" s="8" t="s">
        <v>457</v>
      </c>
      <c r="K42" s="8" t="s">
        <v>457</v>
      </c>
      <c r="L42" s="8" t="s">
        <v>457</v>
      </c>
      <c r="O42" s="1"/>
    </row>
    <row r="43" spans="1:15" s="11" customFormat="1" ht="25.5">
      <c r="B43" s="48" t="s">
        <v>63</v>
      </c>
      <c r="C43" s="12" t="s">
        <v>203</v>
      </c>
      <c r="D43" s="12" t="s">
        <v>312</v>
      </c>
      <c r="E43" s="10">
        <v>183235</v>
      </c>
      <c r="F43" s="6">
        <f t="shared" si="0"/>
        <v>183.23500000000001</v>
      </c>
      <c r="G43" s="12">
        <f>0.183235*1000</f>
        <v>183.23500000000001</v>
      </c>
      <c r="H43" s="6">
        <f t="shared" si="1"/>
        <v>183.23500000000001</v>
      </c>
      <c r="I43" s="12">
        <f>0</f>
        <v>0</v>
      </c>
      <c r="J43" s="8" t="s">
        <v>457</v>
      </c>
      <c r="K43" s="8" t="s">
        <v>457</v>
      </c>
      <c r="L43" s="8" t="s">
        <v>457</v>
      </c>
      <c r="O43" s="1"/>
    </row>
    <row r="44" spans="1:15" ht="25.5">
      <c r="A44" s="11"/>
      <c r="B44" s="48" t="s">
        <v>64</v>
      </c>
      <c r="C44" s="6" t="s">
        <v>203</v>
      </c>
      <c r="D44" s="6" t="s">
        <v>313</v>
      </c>
      <c r="E44" s="10">
        <v>44413.46</v>
      </c>
      <c r="F44" s="6">
        <f t="shared" si="0"/>
        <v>44.413000000000004</v>
      </c>
      <c r="G44" s="6">
        <f>0.044413*1000</f>
        <v>44.413000000000004</v>
      </c>
      <c r="H44" s="6">
        <f t="shared" si="1"/>
        <v>39.336000000000006</v>
      </c>
      <c r="I44" s="6">
        <f>0.005077*1000</f>
        <v>5.077</v>
      </c>
      <c r="J44" s="8" t="s">
        <v>457</v>
      </c>
      <c r="K44" s="8" t="s">
        <v>457</v>
      </c>
      <c r="L44" s="8" t="s">
        <v>457</v>
      </c>
    </row>
    <row r="45" spans="1:15" s="11" customFormat="1" ht="25.5">
      <c r="B45" s="48" t="s">
        <v>65</v>
      </c>
      <c r="C45" s="12" t="s">
        <v>203</v>
      </c>
      <c r="D45" s="12" t="s">
        <v>620</v>
      </c>
      <c r="E45" s="7">
        <v>72213.38</v>
      </c>
      <c r="F45" s="6">
        <f t="shared" si="0"/>
        <v>62.680999999999997</v>
      </c>
      <c r="G45" s="33">
        <f>0.062681*1000</f>
        <v>62.680999999999997</v>
      </c>
      <c r="H45" s="6">
        <f t="shared" si="1"/>
        <v>46.771000000000001</v>
      </c>
      <c r="I45" s="12">
        <f>0.01591*1000</f>
        <v>15.91</v>
      </c>
      <c r="J45" s="8" t="s">
        <v>457</v>
      </c>
      <c r="K45" s="8" t="s">
        <v>457</v>
      </c>
      <c r="L45" s="8" t="s">
        <v>457</v>
      </c>
      <c r="O45" s="1"/>
    </row>
    <row r="46" spans="1:15" ht="25.5">
      <c r="B46" s="48" t="s">
        <v>66</v>
      </c>
      <c r="C46" s="6" t="s">
        <v>203</v>
      </c>
      <c r="D46" s="6" t="s">
        <v>314</v>
      </c>
      <c r="E46" s="7">
        <v>65118.14</v>
      </c>
      <c r="F46" s="6">
        <f t="shared" si="0"/>
        <v>60.536000000000001</v>
      </c>
      <c r="G46" s="6">
        <f>0.060536*1000</f>
        <v>60.536000000000001</v>
      </c>
      <c r="H46" s="6">
        <f t="shared" si="1"/>
        <v>53.219000000000001</v>
      </c>
      <c r="I46" s="6">
        <f>0.007317*1000</f>
        <v>7.3169999999999993</v>
      </c>
      <c r="J46" s="8" t="s">
        <v>457</v>
      </c>
      <c r="K46" s="8" t="s">
        <v>457</v>
      </c>
      <c r="L46" s="8" t="s">
        <v>457</v>
      </c>
    </row>
    <row r="47" spans="1:15" ht="38.25">
      <c r="B47" s="48" t="s">
        <v>67</v>
      </c>
      <c r="C47" s="6" t="s">
        <v>203</v>
      </c>
      <c r="D47" s="6" t="s">
        <v>315</v>
      </c>
      <c r="E47" s="10">
        <v>227277.6</v>
      </c>
      <c r="F47" s="6">
        <f t="shared" si="0"/>
        <v>187.471</v>
      </c>
      <c r="G47" s="6">
        <f>0.187471*1000</f>
        <v>187.471</v>
      </c>
      <c r="H47" s="6">
        <f t="shared" si="1"/>
        <v>174.327</v>
      </c>
      <c r="I47" s="6">
        <f>0.013144*1000</f>
        <v>13.144</v>
      </c>
      <c r="J47" s="8" t="s">
        <v>457</v>
      </c>
      <c r="K47" s="8" t="s">
        <v>457</v>
      </c>
      <c r="L47" s="8" t="s">
        <v>457</v>
      </c>
    </row>
    <row r="48" spans="1:15" ht="25.5">
      <c r="B48" s="48" t="s">
        <v>68</v>
      </c>
      <c r="C48" s="6" t="s">
        <v>203</v>
      </c>
      <c r="D48" s="6" t="s">
        <v>316</v>
      </c>
      <c r="E48" s="10">
        <v>96729.23</v>
      </c>
      <c r="F48" s="6">
        <f t="shared" si="0"/>
        <v>96.728999999999999</v>
      </c>
      <c r="G48" s="6">
        <f>0.096729*1000</f>
        <v>96.728999999999999</v>
      </c>
      <c r="H48" s="6">
        <f t="shared" si="1"/>
        <v>56.176000000000002</v>
      </c>
      <c r="I48" s="6">
        <f>0.040553*1000</f>
        <v>40.552999999999997</v>
      </c>
      <c r="J48" s="8" t="s">
        <v>457</v>
      </c>
      <c r="K48" s="8" t="s">
        <v>457</v>
      </c>
      <c r="L48" s="8" t="s">
        <v>457</v>
      </c>
    </row>
    <row r="49" spans="2:12">
      <c r="B49" s="48" t="s">
        <v>69</v>
      </c>
      <c r="C49" s="6" t="s">
        <v>203</v>
      </c>
      <c r="D49" s="6" t="s">
        <v>294</v>
      </c>
      <c r="E49" s="10">
        <v>77550.81</v>
      </c>
      <c r="F49" s="6">
        <f t="shared" si="0"/>
        <v>74.605000000000004</v>
      </c>
      <c r="G49" s="6">
        <f>0.074605*1000</f>
        <v>74.605000000000004</v>
      </c>
      <c r="H49" s="6">
        <f t="shared" si="1"/>
        <v>57.683000000000007</v>
      </c>
      <c r="I49" s="6">
        <f>0.016922*1000</f>
        <v>16.922000000000001</v>
      </c>
      <c r="J49" s="8" t="s">
        <v>457</v>
      </c>
      <c r="K49" s="8" t="s">
        <v>457</v>
      </c>
      <c r="L49" s="8" t="s">
        <v>457</v>
      </c>
    </row>
    <row r="50" spans="2:12" ht="25.5">
      <c r="B50" s="48" t="s">
        <v>70</v>
      </c>
      <c r="C50" s="6" t="s">
        <v>203</v>
      </c>
      <c r="D50" s="6" t="s">
        <v>317</v>
      </c>
      <c r="E50" s="10">
        <v>30754.76</v>
      </c>
      <c r="F50" s="6">
        <f t="shared" si="0"/>
        <v>30.754000000000001</v>
      </c>
      <c r="G50" s="6">
        <f>0.030754*1000</f>
        <v>30.754000000000001</v>
      </c>
      <c r="H50" s="6">
        <f t="shared" si="1"/>
        <v>18.695</v>
      </c>
      <c r="I50" s="6">
        <f>0.012059*1000</f>
        <v>12.059000000000001</v>
      </c>
      <c r="J50" s="8" t="s">
        <v>457</v>
      </c>
      <c r="K50" s="8" t="s">
        <v>457</v>
      </c>
      <c r="L50" s="8" t="s">
        <v>457</v>
      </c>
    </row>
    <row r="51" spans="2:12" ht="25.5">
      <c r="B51" s="48" t="s">
        <v>71</v>
      </c>
      <c r="C51" s="6" t="s">
        <v>203</v>
      </c>
      <c r="D51" s="6" t="s">
        <v>318</v>
      </c>
      <c r="E51" s="10">
        <v>303937.48</v>
      </c>
      <c r="F51" s="6">
        <f t="shared" si="0"/>
        <v>303.93700000000001</v>
      </c>
      <c r="G51" s="6">
        <f>0.303937*1000</f>
        <v>303.93700000000001</v>
      </c>
      <c r="H51" s="6">
        <f t="shared" si="1"/>
        <v>235.77800000000002</v>
      </c>
      <c r="I51" s="6">
        <f>0.068159*1000</f>
        <v>68.158999999999992</v>
      </c>
      <c r="J51" s="8" t="s">
        <v>457</v>
      </c>
      <c r="K51" s="8" t="s">
        <v>457</v>
      </c>
      <c r="L51" s="8" t="s">
        <v>457</v>
      </c>
    </row>
    <row r="52" spans="2:12" ht="25.5">
      <c r="B52" s="48" t="s">
        <v>72</v>
      </c>
      <c r="C52" s="6" t="s">
        <v>203</v>
      </c>
      <c r="D52" s="6" t="s">
        <v>294</v>
      </c>
      <c r="E52" s="10">
        <v>57510.25</v>
      </c>
      <c r="F52" s="6">
        <f t="shared" si="0"/>
        <v>57.51</v>
      </c>
      <c r="G52" s="6">
        <f>0.05751*1000</f>
        <v>57.51</v>
      </c>
      <c r="H52" s="6">
        <f t="shared" si="1"/>
        <v>42.427999999999997</v>
      </c>
      <c r="I52" s="6">
        <f>0.015082*1000</f>
        <v>15.082000000000001</v>
      </c>
      <c r="J52" s="8" t="s">
        <v>457</v>
      </c>
      <c r="K52" s="8" t="s">
        <v>457</v>
      </c>
      <c r="L52" s="8" t="s">
        <v>457</v>
      </c>
    </row>
    <row r="53" spans="2:12" ht="25.5">
      <c r="B53" s="48" t="s">
        <v>73</v>
      </c>
      <c r="C53" s="6" t="s">
        <v>203</v>
      </c>
      <c r="D53" s="6" t="s">
        <v>319</v>
      </c>
      <c r="E53" s="10">
        <v>41266.42</v>
      </c>
      <c r="F53" s="6">
        <f t="shared" si="0"/>
        <v>41.265999999999998</v>
      </c>
      <c r="G53" s="6">
        <f>0.041266*1000</f>
        <v>41.265999999999998</v>
      </c>
      <c r="H53" s="6">
        <f t="shared" si="1"/>
        <v>36.396999999999998</v>
      </c>
      <c r="I53" s="6">
        <f>0.004869*1000</f>
        <v>4.8689999999999998</v>
      </c>
      <c r="J53" s="8" t="s">
        <v>457</v>
      </c>
      <c r="K53" s="8" t="s">
        <v>457</v>
      </c>
      <c r="L53" s="8" t="s">
        <v>457</v>
      </c>
    </row>
    <row r="54" spans="2:12" ht="25.5">
      <c r="B54" s="48" t="s">
        <v>74</v>
      </c>
      <c r="C54" s="6" t="s">
        <v>203</v>
      </c>
      <c r="D54" s="6" t="s">
        <v>621</v>
      </c>
      <c r="E54" s="10">
        <v>173159.35</v>
      </c>
      <c r="F54" s="6">
        <f t="shared" si="0"/>
        <v>173.15900000000002</v>
      </c>
      <c r="G54" s="33">
        <f>0.173159*1000</f>
        <v>173.15900000000002</v>
      </c>
      <c r="H54" s="6">
        <f t="shared" si="1"/>
        <v>93.966000000000022</v>
      </c>
      <c r="I54" s="6">
        <f>0.079193*1000</f>
        <v>79.192999999999998</v>
      </c>
      <c r="J54" s="8" t="s">
        <v>457</v>
      </c>
      <c r="K54" s="8" t="s">
        <v>457</v>
      </c>
      <c r="L54" s="8" t="s">
        <v>457</v>
      </c>
    </row>
    <row r="55" spans="2:12" ht="25.5">
      <c r="B55" s="48" t="s">
        <v>75</v>
      </c>
      <c r="C55" s="6" t="s">
        <v>203</v>
      </c>
      <c r="D55" s="6" t="s">
        <v>621</v>
      </c>
      <c r="E55" s="10">
        <v>250246.93</v>
      </c>
      <c r="F55" s="6">
        <f t="shared" si="0"/>
        <v>250.251</v>
      </c>
      <c r="G55" s="6">
        <f>0.250251*1000</f>
        <v>250.251</v>
      </c>
      <c r="H55" s="6">
        <f t="shared" si="1"/>
        <v>244.91499999999999</v>
      </c>
      <c r="I55" s="6">
        <f>0.005336*1000</f>
        <v>5.3359999999999994</v>
      </c>
      <c r="J55" s="8" t="s">
        <v>457</v>
      </c>
      <c r="K55" s="8" t="s">
        <v>457</v>
      </c>
      <c r="L55" s="8" t="s">
        <v>457</v>
      </c>
    </row>
    <row r="56" spans="2:12" ht="25.5">
      <c r="B56" s="48" t="s">
        <v>76</v>
      </c>
      <c r="C56" s="6" t="s">
        <v>203</v>
      </c>
      <c r="D56" s="6" t="s">
        <v>315</v>
      </c>
      <c r="E56" s="10">
        <v>247429.52</v>
      </c>
      <c r="F56" s="6">
        <f t="shared" si="0"/>
        <v>247.429</v>
      </c>
      <c r="G56" s="6">
        <f>0.247429*1000</f>
        <v>247.429</v>
      </c>
      <c r="H56" s="6">
        <f t="shared" si="1"/>
        <v>198.566</v>
      </c>
      <c r="I56" s="6">
        <f>0.048863*1000</f>
        <v>48.863</v>
      </c>
      <c r="J56" s="8" t="s">
        <v>457</v>
      </c>
      <c r="K56" s="8" t="s">
        <v>457</v>
      </c>
      <c r="L56" s="8" t="s">
        <v>457</v>
      </c>
    </row>
    <row r="57" spans="2:12">
      <c r="B57" s="48" t="s">
        <v>77</v>
      </c>
      <c r="C57" s="6" t="s">
        <v>203</v>
      </c>
      <c r="D57" s="6" t="s">
        <v>294</v>
      </c>
      <c r="E57" s="10">
        <v>83090.179999999993</v>
      </c>
      <c r="F57" s="6">
        <f t="shared" si="0"/>
        <v>83.09</v>
      </c>
      <c r="G57" s="6">
        <f>0.08309*1000</f>
        <v>83.09</v>
      </c>
      <c r="H57" s="6">
        <f t="shared" si="1"/>
        <v>64.534000000000006</v>
      </c>
      <c r="I57" s="6">
        <f>0.018556*1000</f>
        <v>18.556000000000001</v>
      </c>
      <c r="J57" s="8" t="s">
        <v>457</v>
      </c>
      <c r="K57" s="8" t="s">
        <v>457</v>
      </c>
      <c r="L57" s="8" t="s">
        <v>457</v>
      </c>
    </row>
    <row r="58" spans="2:12" ht="25.5">
      <c r="B58" s="48" t="s">
        <v>78</v>
      </c>
      <c r="C58" s="6" t="s">
        <v>203</v>
      </c>
      <c r="D58" s="6" t="s">
        <v>297</v>
      </c>
      <c r="E58" s="10">
        <v>112468.22</v>
      </c>
      <c r="F58" s="6">
        <f t="shared" si="0"/>
        <v>112.468</v>
      </c>
      <c r="G58" s="6">
        <f>0.112468*1000</f>
        <v>112.468</v>
      </c>
      <c r="H58" s="6">
        <f t="shared" si="1"/>
        <v>86.802000000000007</v>
      </c>
      <c r="I58" s="6">
        <f>0.025666*1000</f>
        <v>25.666</v>
      </c>
      <c r="J58" s="8" t="s">
        <v>457</v>
      </c>
      <c r="K58" s="8" t="s">
        <v>457</v>
      </c>
      <c r="L58" s="8" t="s">
        <v>457</v>
      </c>
    </row>
    <row r="59" spans="2:12" ht="25.5">
      <c r="B59" s="48" t="s">
        <v>79</v>
      </c>
      <c r="C59" s="6" t="s">
        <v>203</v>
      </c>
      <c r="D59" s="6" t="s">
        <v>297</v>
      </c>
      <c r="E59" s="7">
        <v>196016.51</v>
      </c>
      <c r="F59" s="6">
        <f t="shared" si="0"/>
        <v>196.01599999999999</v>
      </c>
      <c r="G59" s="6">
        <f>0.196016*1000</f>
        <v>196.01599999999999</v>
      </c>
      <c r="H59" s="6">
        <f t="shared" si="1"/>
        <v>166.387</v>
      </c>
      <c r="I59" s="6">
        <f>0.029629*1000</f>
        <v>29.628999999999998</v>
      </c>
      <c r="J59" s="8" t="s">
        <v>457</v>
      </c>
      <c r="K59" s="8" t="s">
        <v>457</v>
      </c>
      <c r="L59" s="8" t="s">
        <v>457</v>
      </c>
    </row>
    <row r="60" spans="2:12" ht="25.5">
      <c r="B60" s="48" t="s">
        <v>80</v>
      </c>
      <c r="C60" s="6" t="s">
        <v>203</v>
      </c>
      <c r="D60" s="6" t="s">
        <v>622</v>
      </c>
      <c r="E60" s="10">
        <v>163395.75</v>
      </c>
      <c r="F60" s="6">
        <f t="shared" si="0"/>
        <v>163.398</v>
      </c>
      <c r="G60" s="6">
        <f>0.163398*1000</f>
        <v>163.398</v>
      </c>
      <c r="H60" s="6">
        <f t="shared" si="1"/>
        <v>90.611999999999995</v>
      </c>
      <c r="I60" s="6">
        <f>0.072786*1000</f>
        <v>72.786000000000001</v>
      </c>
      <c r="J60" s="8" t="s">
        <v>457</v>
      </c>
      <c r="K60" s="8" t="s">
        <v>457</v>
      </c>
      <c r="L60" s="8" t="s">
        <v>457</v>
      </c>
    </row>
    <row r="61" spans="2:12" ht="25.5">
      <c r="B61" s="48" t="s">
        <v>81</v>
      </c>
      <c r="C61" s="6" t="s">
        <v>203</v>
      </c>
      <c r="D61" s="6" t="s">
        <v>315</v>
      </c>
      <c r="E61" s="10">
        <v>196692.62</v>
      </c>
      <c r="F61" s="6">
        <f t="shared" si="0"/>
        <v>196.69200000000001</v>
      </c>
      <c r="G61" s="6">
        <f>0.196692*1000</f>
        <v>196.69200000000001</v>
      </c>
      <c r="H61" s="6">
        <f t="shared" si="1"/>
        <v>152.83100000000002</v>
      </c>
      <c r="I61" s="6">
        <f>0.043861*1000</f>
        <v>43.860999999999997</v>
      </c>
      <c r="J61" s="8" t="s">
        <v>457</v>
      </c>
      <c r="K61" s="8" t="s">
        <v>457</v>
      </c>
      <c r="L61" s="8" t="s">
        <v>457</v>
      </c>
    </row>
    <row r="62" spans="2:12" ht="25.5">
      <c r="B62" s="48" t="s">
        <v>82</v>
      </c>
      <c r="C62" s="6" t="s">
        <v>203</v>
      </c>
      <c r="D62" s="6" t="s">
        <v>623</v>
      </c>
      <c r="E62" s="10">
        <v>176375.1</v>
      </c>
      <c r="F62" s="6">
        <f t="shared" si="0"/>
        <v>176.375</v>
      </c>
      <c r="G62" s="6">
        <f>0.176375*1000</f>
        <v>176.375</v>
      </c>
      <c r="H62" s="6">
        <f t="shared" si="1"/>
        <v>101.35899999999999</v>
      </c>
      <c r="I62" s="6">
        <f>0.075016*1000</f>
        <v>75.016000000000005</v>
      </c>
      <c r="J62" s="8" t="s">
        <v>457</v>
      </c>
      <c r="K62" s="8" t="s">
        <v>457</v>
      </c>
      <c r="L62" s="8" t="s">
        <v>457</v>
      </c>
    </row>
    <row r="63" spans="2:12" ht="38.25">
      <c r="B63" s="48" t="s">
        <v>83</v>
      </c>
      <c r="C63" s="6" t="s">
        <v>203</v>
      </c>
      <c r="D63" s="6" t="s">
        <v>315</v>
      </c>
      <c r="E63" s="10">
        <v>213404.44</v>
      </c>
      <c r="F63" s="6">
        <f t="shared" si="0"/>
        <v>213.404</v>
      </c>
      <c r="G63" s="6">
        <f>0.213404*1000</f>
        <v>213.404</v>
      </c>
      <c r="H63" s="6">
        <f t="shared" si="1"/>
        <v>166.60899999999998</v>
      </c>
      <c r="I63" s="6">
        <f>0.046795*1000</f>
        <v>46.795000000000002</v>
      </c>
      <c r="J63" s="8" t="s">
        <v>457</v>
      </c>
      <c r="K63" s="8" t="s">
        <v>457</v>
      </c>
      <c r="L63" s="8" t="s">
        <v>457</v>
      </c>
    </row>
    <row r="64" spans="2:12" ht="25.5">
      <c r="B64" s="48" t="s">
        <v>84</v>
      </c>
      <c r="C64" s="6" t="s">
        <v>203</v>
      </c>
      <c r="D64" s="6" t="s">
        <v>294</v>
      </c>
      <c r="E64" s="10">
        <v>58071.11</v>
      </c>
      <c r="F64" s="6">
        <f t="shared" si="0"/>
        <v>58.070999999999998</v>
      </c>
      <c r="G64" s="33">
        <f>0.058071*1000</f>
        <v>58.070999999999998</v>
      </c>
      <c r="H64" s="6">
        <f t="shared" si="1"/>
        <v>46.992999999999995</v>
      </c>
      <c r="I64" s="6">
        <f>0.011078*1000</f>
        <v>11.077999999999999</v>
      </c>
      <c r="J64" s="8" t="s">
        <v>457</v>
      </c>
      <c r="K64" s="8" t="s">
        <v>457</v>
      </c>
      <c r="L64" s="8" t="s">
        <v>457</v>
      </c>
    </row>
    <row r="65" spans="2:12" ht="25.5">
      <c r="B65" s="48" t="s">
        <v>85</v>
      </c>
      <c r="C65" s="6" t="s">
        <v>203</v>
      </c>
      <c r="D65" s="6" t="s">
        <v>320</v>
      </c>
      <c r="E65" s="10">
        <v>99097.87</v>
      </c>
      <c r="F65" s="6">
        <f t="shared" si="0"/>
        <v>61.464999999999996</v>
      </c>
      <c r="G65" s="6">
        <f>0.061465*1000</f>
        <v>61.464999999999996</v>
      </c>
      <c r="H65" s="6">
        <f t="shared" si="1"/>
        <v>45.817999999999998</v>
      </c>
      <c r="I65" s="6">
        <f>0.015647*1000</f>
        <v>15.647000000000002</v>
      </c>
      <c r="J65" s="8" t="s">
        <v>457</v>
      </c>
      <c r="K65" s="8" t="s">
        <v>457</v>
      </c>
      <c r="L65" s="8" t="s">
        <v>457</v>
      </c>
    </row>
    <row r="66" spans="2:12" ht="25.5">
      <c r="B66" s="48" t="s">
        <v>86</v>
      </c>
      <c r="C66" s="6" t="s">
        <v>203</v>
      </c>
      <c r="D66" s="6" t="s">
        <v>318</v>
      </c>
      <c r="E66" s="10">
        <v>274383.27</v>
      </c>
      <c r="F66" s="6">
        <f t="shared" si="0"/>
        <v>274.38299999999998</v>
      </c>
      <c r="G66" s="6">
        <f>0.274383*1000</f>
        <v>274.38299999999998</v>
      </c>
      <c r="H66" s="6">
        <f t="shared" si="1"/>
        <v>209.25099999999998</v>
      </c>
      <c r="I66" s="6">
        <f>0.065132*1000</f>
        <v>65.131999999999991</v>
      </c>
      <c r="J66" s="8" t="s">
        <v>457</v>
      </c>
      <c r="K66" s="8" t="s">
        <v>457</v>
      </c>
      <c r="L66" s="8" t="s">
        <v>457</v>
      </c>
    </row>
    <row r="67" spans="2:12" ht="25.5">
      <c r="B67" s="48" t="s">
        <v>87</v>
      </c>
      <c r="C67" s="6" t="s">
        <v>203</v>
      </c>
      <c r="D67" s="6" t="s">
        <v>320</v>
      </c>
      <c r="E67" s="10">
        <v>65702.03</v>
      </c>
      <c r="F67" s="6">
        <f t="shared" si="0"/>
        <v>66.022999999999996</v>
      </c>
      <c r="G67" s="6">
        <f>0.066023*1000</f>
        <v>66.022999999999996</v>
      </c>
      <c r="H67" s="6">
        <f t="shared" si="1"/>
        <v>64.337999999999994</v>
      </c>
      <c r="I67" s="6">
        <f>0.001685*1000</f>
        <v>1.6850000000000001</v>
      </c>
      <c r="J67" s="8" t="s">
        <v>457</v>
      </c>
      <c r="K67" s="8" t="s">
        <v>457</v>
      </c>
      <c r="L67" s="8" t="s">
        <v>457</v>
      </c>
    </row>
    <row r="68" spans="2:12">
      <c r="B68" s="48" t="s">
        <v>88</v>
      </c>
      <c r="C68" s="6" t="s">
        <v>203</v>
      </c>
      <c r="D68" s="6" t="s">
        <v>294</v>
      </c>
      <c r="E68" s="10">
        <v>65337.51</v>
      </c>
      <c r="F68" s="6">
        <f t="shared" si="0"/>
        <v>65.337000000000003</v>
      </c>
      <c r="G68" s="6">
        <f>0.065337*1000</f>
        <v>65.337000000000003</v>
      </c>
      <c r="H68" s="6">
        <f t="shared" si="1"/>
        <v>50.478000000000002</v>
      </c>
      <c r="I68" s="6">
        <f>0.014859*1000</f>
        <v>14.859</v>
      </c>
      <c r="J68" s="8" t="s">
        <v>457</v>
      </c>
      <c r="K68" s="8" t="s">
        <v>457</v>
      </c>
      <c r="L68" s="8" t="s">
        <v>457</v>
      </c>
    </row>
    <row r="69" spans="2:12" ht="25.5">
      <c r="B69" s="48" t="s">
        <v>89</v>
      </c>
      <c r="C69" s="6" t="s">
        <v>203</v>
      </c>
      <c r="D69" s="6" t="s">
        <v>299</v>
      </c>
      <c r="E69" s="10">
        <v>51222.31</v>
      </c>
      <c r="F69" s="6">
        <f t="shared" si="0"/>
        <v>51.221999999999994</v>
      </c>
      <c r="G69" s="6">
        <f>0.051222*1000</f>
        <v>51.221999999999994</v>
      </c>
      <c r="H69" s="6">
        <f t="shared" si="1"/>
        <v>44.808999999999997</v>
      </c>
      <c r="I69" s="6">
        <f>0.006413*1000</f>
        <v>6.4130000000000003</v>
      </c>
      <c r="J69" s="8" t="s">
        <v>457</v>
      </c>
      <c r="K69" s="8" t="s">
        <v>457</v>
      </c>
      <c r="L69" s="8" t="s">
        <v>457</v>
      </c>
    </row>
    <row r="70" spans="2:12" ht="25.5">
      <c r="B70" s="48" t="s">
        <v>90</v>
      </c>
      <c r="C70" s="6" t="s">
        <v>203</v>
      </c>
      <c r="D70" s="6" t="s">
        <v>624</v>
      </c>
      <c r="E70" s="10">
        <v>259095.04000000001</v>
      </c>
      <c r="F70" s="6">
        <f t="shared" si="0"/>
        <v>259.09500000000003</v>
      </c>
      <c r="G70" s="6">
        <f>0.259095*1000</f>
        <v>259.09500000000003</v>
      </c>
      <c r="H70" s="6">
        <f t="shared" si="1"/>
        <v>131.78200000000001</v>
      </c>
      <c r="I70" s="6">
        <f>0.127313*1000</f>
        <v>127.31300000000002</v>
      </c>
      <c r="J70" s="8" t="s">
        <v>457</v>
      </c>
      <c r="K70" s="8" t="s">
        <v>457</v>
      </c>
      <c r="L70" s="8" t="s">
        <v>457</v>
      </c>
    </row>
    <row r="71" spans="2:12" ht="25.5">
      <c r="B71" s="48" t="s">
        <v>91</v>
      </c>
      <c r="C71" s="6" t="s">
        <v>203</v>
      </c>
      <c r="D71" s="6" t="s">
        <v>625</v>
      </c>
      <c r="E71" s="7">
        <v>250972.64</v>
      </c>
      <c r="F71" s="6">
        <f t="shared" ref="F71:F134" si="2">G71</f>
        <v>250.97199999999998</v>
      </c>
      <c r="G71" s="6">
        <f>0.250972*1000</f>
        <v>250.97199999999998</v>
      </c>
      <c r="H71" s="6">
        <f t="shared" ref="H71:H134" si="3">G71-I71</f>
        <v>133.48199999999997</v>
      </c>
      <c r="I71" s="6">
        <f>0.11749*1000</f>
        <v>117.49</v>
      </c>
      <c r="J71" s="8" t="s">
        <v>457</v>
      </c>
      <c r="K71" s="8" t="s">
        <v>457</v>
      </c>
      <c r="L71" s="8" t="s">
        <v>457</v>
      </c>
    </row>
    <row r="72" spans="2:12" ht="25.5">
      <c r="B72" s="48" t="s">
        <v>92</v>
      </c>
      <c r="C72" s="6" t="s">
        <v>203</v>
      </c>
      <c r="D72" s="6" t="s">
        <v>318</v>
      </c>
      <c r="E72" s="10">
        <v>299633.2</v>
      </c>
      <c r="F72" s="6">
        <f t="shared" si="2"/>
        <v>281.99800000000005</v>
      </c>
      <c r="G72" s="6">
        <f>0.281998*1000</f>
        <v>281.99800000000005</v>
      </c>
      <c r="H72" s="6">
        <f t="shared" si="3"/>
        <v>215.59000000000003</v>
      </c>
      <c r="I72" s="6">
        <f>0.066408*1000</f>
        <v>66.408000000000001</v>
      </c>
      <c r="J72" s="8" t="s">
        <v>457</v>
      </c>
      <c r="K72" s="8" t="s">
        <v>457</v>
      </c>
      <c r="L72" s="8" t="s">
        <v>457</v>
      </c>
    </row>
    <row r="73" spans="2:12" ht="38.25">
      <c r="B73" s="48" t="s">
        <v>93</v>
      </c>
      <c r="C73" s="6" t="s">
        <v>203</v>
      </c>
      <c r="D73" s="6" t="s">
        <v>321</v>
      </c>
      <c r="E73" s="10">
        <v>25772.77</v>
      </c>
      <c r="F73" s="6">
        <f t="shared" si="2"/>
        <v>25.731000000000002</v>
      </c>
      <c r="G73" s="6">
        <f>0.025731*1000</f>
        <v>25.731000000000002</v>
      </c>
      <c r="H73" s="6">
        <f t="shared" si="3"/>
        <v>8.7970000000000006</v>
      </c>
      <c r="I73" s="6">
        <f>0.016934*1000</f>
        <v>16.934000000000001</v>
      </c>
      <c r="J73" s="8" t="s">
        <v>457</v>
      </c>
      <c r="K73" s="8" t="s">
        <v>457</v>
      </c>
      <c r="L73" s="8" t="s">
        <v>457</v>
      </c>
    </row>
    <row r="74" spans="2:12" ht="25.5">
      <c r="B74" s="48" t="s">
        <v>94</v>
      </c>
      <c r="C74" s="6" t="s">
        <v>203</v>
      </c>
      <c r="D74" s="6" t="s">
        <v>321</v>
      </c>
      <c r="E74" s="10">
        <v>65620.94</v>
      </c>
      <c r="F74" s="6">
        <f t="shared" si="2"/>
        <v>51.422000000000004</v>
      </c>
      <c r="G74" s="6">
        <f>0.051422*1000</f>
        <v>51.422000000000004</v>
      </c>
      <c r="H74" s="6">
        <f t="shared" si="3"/>
        <v>50.222000000000001</v>
      </c>
      <c r="I74" s="6">
        <f>0.0012*1000</f>
        <v>1.2</v>
      </c>
      <c r="J74" s="8" t="s">
        <v>457</v>
      </c>
      <c r="K74" s="8" t="s">
        <v>457</v>
      </c>
      <c r="L74" s="8" t="s">
        <v>457</v>
      </c>
    </row>
    <row r="75" spans="2:12" ht="25.5">
      <c r="B75" s="48" t="s">
        <v>95</v>
      </c>
      <c r="C75" s="6" t="s">
        <v>203</v>
      </c>
      <c r="D75" s="6" t="s">
        <v>318</v>
      </c>
      <c r="E75" s="10">
        <v>296724.34000000003</v>
      </c>
      <c r="F75" s="6">
        <f t="shared" si="2"/>
        <v>296.72399999999999</v>
      </c>
      <c r="G75" s="6">
        <f>0.296724*1000</f>
        <v>296.72399999999999</v>
      </c>
      <c r="H75" s="6">
        <f t="shared" si="3"/>
        <v>230.20699999999999</v>
      </c>
      <c r="I75" s="6">
        <f>0.066517*1000</f>
        <v>66.51700000000001</v>
      </c>
      <c r="J75" s="8" t="s">
        <v>457</v>
      </c>
      <c r="K75" s="8" t="s">
        <v>457</v>
      </c>
      <c r="L75" s="8" t="s">
        <v>457</v>
      </c>
    </row>
    <row r="76" spans="2:12" ht="25.5">
      <c r="B76" s="48" t="s">
        <v>96</v>
      </c>
      <c r="C76" s="6" t="s">
        <v>203</v>
      </c>
      <c r="D76" s="6" t="s">
        <v>626</v>
      </c>
      <c r="E76" s="10">
        <v>244185.54</v>
      </c>
      <c r="F76" s="6">
        <f t="shared" si="2"/>
        <v>244.185</v>
      </c>
      <c r="G76" s="6">
        <f>0.244185*1000</f>
        <v>244.185</v>
      </c>
      <c r="H76" s="6">
        <f t="shared" si="3"/>
        <v>237.887</v>
      </c>
      <c r="I76" s="6">
        <f>0.006298*1000</f>
        <v>6.298</v>
      </c>
      <c r="J76" s="8" t="s">
        <v>457</v>
      </c>
      <c r="K76" s="8" t="s">
        <v>457</v>
      </c>
      <c r="L76" s="8" t="s">
        <v>457</v>
      </c>
    </row>
    <row r="77" spans="2:12" ht="25.5">
      <c r="B77" s="48" t="s">
        <v>97</v>
      </c>
      <c r="C77" s="6" t="s">
        <v>203</v>
      </c>
      <c r="D77" s="6" t="s">
        <v>297</v>
      </c>
      <c r="E77" s="10">
        <v>124838.44</v>
      </c>
      <c r="F77" s="6">
        <f t="shared" si="2"/>
        <v>124.83800000000001</v>
      </c>
      <c r="G77" s="6">
        <f>0.124838*1000</f>
        <v>124.83800000000001</v>
      </c>
      <c r="H77" s="6">
        <f t="shared" si="3"/>
        <v>95.128000000000014</v>
      </c>
      <c r="I77" s="6">
        <f>0.02971*1000</f>
        <v>29.71</v>
      </c>
      <c r="J77" s="8" t="s">
        <v>457</v>
      </c>
      <c r="K77" s="8" t="s">
        <v>457</v>
      </c>
      <c r="L77" s="8" t="s">
        <v>457</v>
      </c>
    </row>
    <row r="78" spans="2:12" ht="25.5">
      <c r="B78" s="48" t="s">
        <v>98</v>
      </c>
      <c r="C78" s="6" t="s">
        <v>203</v>
      </c>
      <c r="D78" s="6" t="s">
        <v>627</v>
      </c>
      <c r="E78" s="10">
        <v>244036.15</v>
      </c>
      <c r="F78" s="6">
        <f t="shared" si="2"/>
        <v>244.04899999999998</v>
      </c>
      <c r="G78" s="6">
        <f>0.244049*1000</f>
        <v>244.04899999999998</v>
      </c>
      <c r="H78" s="6">
        <f t="shared" si="3"/>
        <v>238.56399999999996</v>
      </c>
      <c r="I78" s="6">
        <f>0.005485*1000</f>
        <v>5.4850000000000003</v>
      </c>
      <c r="J78" s="8" t="s">
        <v>457</v>
      </c>
      <c r="K78" s="8" t="s">
        <v>457</v>
      </c>
      <c r="L78" s="8" t="s">
        <v>457</v>
      </c>
    </row>
    <row r="79" spans="2:12" ht="25.5">
      <c r="B79" s="48" t="s">
        <v>99</v>
      </c>
      <c r="C79" s="6" t="s">
        <v>203</v>
      </c>
      <c r="D79" s="6" t="s">
        <v>628</v>
      </c>
      <c r="E79" s="10">
        <v>242180.17</v>
      </c>
      <c r="F79" s="6">
        <f t="shared" si="2"/>
        <v>242.18</v>
      </c>
      <c r="G79" s="6">
        <f>0.24218*1000</f>
        <v>242.18</v>
      </c>
      <c r="H79" s="6">
        <f t="shared" si="3"/>
        <v>143.322</v>
      </c>
      <c r="I79" s="6">
        <f>0.098858*1000</f>
        <v>98.858000000000004</v>
      </c>
      <c r="J79" s="8" t="s">
        <v>457</v>
      </c>
      <c r="K79" s="8" t="s">
        <v>457</v>
      </c>
      <c r="L79" s="8" t="s">
        <v>457</v>
      </c>
    </row>
    <row r="80" spans="2:12" ht="25.5">
      <c r="B80" s="48" t="s">
        <v>100</v>
      </c>
      <c r="C80" s="6" t="s">
        <v>203</v>
      </c>
      <c r="D80" s="6" t="s">
        <v>629</v>
      </c>
      <c r="E80" s="10">
        <v>244036.15</v>
      </c>
      <c r="F80" s="6">
        <f t="shared" si="2"/>
        <v>244.047</v>
      </c>
      <c r="G80" s="6">
        <f>0.244047*1000</f>
        <v>244.047</v>
      </c>
      <c r="H80" s="6">
        <f t="shared" si="3"/>
        <v>123.48299999999999</v>
      </c>
      <c r="I80" s="6">
        <f>0.120564*1000</f>
        <v>120.56400000000001</v>
      </c>
      <c r="J80" s="8" t="s">
        <v>457</v>
      </c>
      <c r="K80" s="8" t="s">
        <v>457</v>
      </c>
      <c r="L80" s="8" t="s">
        <v>457</v>
      </c>
    </row>
    <row r="81" spans="2:15" ht="38.25">
      <c r="B81" s="48" t="s">
        <v>101</v>
      </c>
      <c r="C81" s="6" t="s">
        <v>203</v>
      </c>
      <c r="D81" s="6" t="s">
        <v>297</v>
      </c>
      <c r="E81" s="10">
        <v>169206.51</v>
      </c>
      <c r="F81" s="6">
        <f t="shared" si="2"/>
        <v>169.20599999999999</v>
      </c>
      <c r="G81" s="6">
        <f>0.169206*1000</f>
        <v>169.20599999999999</v>
      </c>
      <c r="H81" s="6">
        <f t="shared" si="3"/>
        <v>132.125</v>
      </c>
      <c r="I81" s="6">
        <f>0.037081*1000</f>
        <v>37.081000000000003</v>
      </c>
      <c r="J81" s="8" t="s">
        <v>457</v>
      </c>
      <c r="K81" s="8" t="s">
        <v>457</v>
      </c>
      <c r="L81" s="8" t="s">
        <v>457</v>
      </c>
    </row>
    <row r="82" spans="2:15" ht="25.5">
      <c r="B82" s="48" t="s">
        <v>102</v>
      </c>
      <c r="C82" s="6" t="s">
        <v>203</v>
      </c>
      <c r="D82" s="6" t="s">
        <v>322</v>
      </c>
      <c r="E82" s="10">
        <v>119141.63</v>
      </c>
      <c r="F82" s="6">
        <f t="shared" si="2"/>
        <v>96.896999999999991</v>
      </c>
      <c r="G82" s="6">
        <f>0.096897*1000</f>
        <v>96.896999999999991</v>
      </c>
      <c r="H82" s="6">
        <f t="shared" si="3"/>
        <v>94.562999999999988</v>
      </c>
      <c r="I82" s="6">
        <f>0.002334*1000</f>
        <v>2.3340000000000001</v>
      </c>
      <c r="J82" s="8" t="s">
        <v>457</v>
      </c>
      <c r="K82" s="8" t="s">
        <v>457</v>
      </c>
      <c r="L82" s="8" t="s">
        <v>457</v>
      </c>
    </row>
    <row r="83" spans="2:15" ht="38.25">
      <c r="B83" s="48" t="s">
        <v>103</v>
      </c>
      <c r="C83" s="6" t="s">
        <v>203</v>
      </c>
      <c r="D83" s="6" t="s">
        <v>323</v>
      </c>
      <c r="E83" s="10">
        <v>55701.48</v>
      </c>
      <c r="F83" s="6">
        <f t="shared" si="2"/>
        <v>42.923999999999999</v>
      </c>
      <c r="G83" s="6">
        <f>0.042924*1000</f>
        <v>42.923999999999999</v>
      </c>
      <c r="H83" s="6">
        <f t="shared" si="3"/>
        <v>24.004000000000001</v>
      </c>
      <c r="I83" s="6">
        <f>0.01892*1000</f>
        <v>18.919999999999998</v>
      </c>
      <c r="J83" s="8" t="s">
        <v>457</v>
      </c>
      <c r="K83" s="8" t="s">
        <v>457</v>
      </c>
      <c r="L83" s="8" t="s">
        <v>457</v>
      </c>
    </row>
    <row r="84" spans="2:15" ht="25.5">
      <c r="B84" s="48" t="s">
        <v>104</v>
      </c>
      <c r="C84" s="6" t="s">
        <v>203</v>
      </c>
      <c r="D84" s="6" t="s">
        <v>630</v>
      </c>
      <c r="E84" s="10">
        <v>40138.199999999997</v>
      </c>
      <c r="F84" s="6">
        <f t="shared" si="2"/>
        <v>42.306999999999995</v>
      </c>
      <c r="G84" s="33">
        <f>0.042307*1000</f>
        <v>42.306999999999995</v>
      </c>
      <c r="H84" s="6">
        <f t="shared" si="3"/>
        <v>41.490999999999993</v>
      </c>
      <c r="I84" s="6">
        <f>0.000816*1000</f>
        <v>0.81599999999999995</v>
      </c>
      <c r="J84" s="8" t="s">
        <v>457</v>
      </c>
      <c r="K84" s="8" t="s">
        <v>457</v>
      </c>
      <c r="L84" s="8" t="s">
        <v>457</v>
      </c>
    </row>
    <row r="85" spans="2:15" ht="25.5">
      <c r="B85" s="48" t="s">
        <v>105</v>
      </c>
      <c r="C85" s="6" t="s">
        <v>203</v>
      </c>
      <c r="D85" s="6" t="s">
        <v>631</v>
      </c>
      <c r="E85" s="7">
        <v>83823.77</v>
      </c>
      <c r="F85" s="6">
        <f t="shared" si="2"/>
        <v>77.968999999999994</v>
      </c>
      <c r="G85" s="6">
        <f>0.077969*1000</f>
        <v>77.968999999999994</v>
      </c>
      <c r="H85" s="6">
        <f t="shared" si="3"/>
        <v>76.295999999999992</v>
      </c>
      <c r="I85" s="6">
        <f>0.001673*1000</f>
        <v>1.673</v>
      </c>
      <c r="J85" s="8" t="s">
        <v>457</v>
      </c>
      <c r="K85" s="8" t="s">
        <v>457</v>
      </c>
      <c r="L85" s="8" t="s">
        <v>457</v>
      </c>
    </row>
    <row r="86" spans="2:15" ht="25.5">
      <c r="B86" s="48" t="s">
        <v>106</v>
      </c>
      <c r="C86" s="6" t="s">
        <v>203</v>
      </c>
      <c r="D86" s="6" t="s">
        <v>324</v>
      </c>
      <c r="E86" s="10">
        <v>21900.69</v>
      </c>
      <c r="F86" s="6">
        <f t="shared" si="2"/>
        <v>16.352999999999998</v>
      </c>
      <c r="G86" s="6">
        <f>0.016353*1000</f>
        <v>16.352999999999998</v>
      </c>
      <c r="H86" s="6">
        <f t="shared" si="3"/>
        <v>16.044999999999998</v>
      </c>
      <c r="I86" s="6">
        <f>0.000308*1000</f>
        <v>0.308</v>
      </c>
      <c r="J86" s="8" t="s">
        <v>457</v>
      </c>
      <c r="K86" s="8" t="s">
        <v>457</v>
      </c>
      <c r="L86" s="8" t="s">
        <v>457</v>
      </c>
    </row>
    <row r="87" spans="2:15" ht="25.5">
      <c r="B87" s="48" t="s">
        <v>107</v>
      </c>
      <c r="C87" s="6" t="s">
        <v>203</v>
      </c>
      <c r="D87" s="6" t="s">
        <v>325</v>
      </c>
      <c r="E87" s="10">
        <v>21900.69</v>
      </c>
      <c r="F87" s="6">
        <f t="shared" si="2"/>
        <v>21.898999999999997</v>
      </c>
      <c r="G87" s="6">
        <f>0.021899*1000</f>
        <v>21.898999999999997</v>
      </c>
      <c r="H87" s="6">
        <f t="shared" si="3"/>
        <v>21.388999999999996</v>
      </c>
      <c r="I87" s="6">
        <f>0.00051*1000</f>
        <v>0.51</v>
      </c>
      <c r="J87" s="8" t="s">
        <v>457</v>
      </c>
      <c r="K87" s="8" t="s">
        <v>457</v>
      </c>
      <c r="L87" s="8" t="s">
        <v>457</v>
      </c>
    </row>
    <row r="88" spans="2:15" ht="25.5">
      <c r="B88" s="48" t="s">
        <v>108</v>
      </c>
      <c r="C88" s="6" t="s">
        <v>203</v>
      </c>
      <c r="D88" s="6" t="s">
        <v>326</v>
      </c>
      <c r="E88" s="10">
        <v>25900.2</v>
      </c>
      <c r="F88" s="6">
        <f t="shared" si="2"/>
        <v>24.750999999999998</v>
      </c>
      <c r="G88" s="6">
        <f>0.024751*1000</f>
        <v>24.750999999999998</v>
      </c>
      <c r="H88" s="6">
        <f t="shared" si="3"/>
        <v>24.354999999999997</v>
      </c>
      <c r="I88" s="6">
        <f>0.000396*1000</f>
        <v>0.39599999999999996</v>
      </c>
      <c r="J88" s="8" t="s">
        <v>457</v>
      </c>
      <c r="K88" s="8" t="s">
        <v>457</v>
      </c>
      <c r="L88" s="8" t="s">
        <v>457</v>
      </c>
    </row>
    <row r="89" spans="2:15" ht="25.5">
      <c r="B89" s="48" t="s">
        <v>109</v>
      </c>
      <c r="C89" s="6" t="s">
        <v>203</v>
      </c>
      <c r="D89" s="6" t="s">
        <v>632</v>
      </c>
      <c r="E89" s="10">
        <v>293464.64</v>
      </c>
      <c r="F89" s="6">
        <f t="shared" si="2"/>
        <v>293.464</v>
      </c>
      <c r="G89" s="6">
        <f>0.293464*1000</f>
        <v>293.464</v>
      </c>
      <c r="H89" s="6">
        <f t="shared" si="3"/>
        <v>204.16499999999999</v>
      </c>
      <c r="I89" s="6">
        <f>0.089299*1000</f>
        <v>89.299000000000007</v>
      </c>
      <c r="J89" s="8" t="s">
        <v>457</v>
      </c>
      <c r="K89" s="8" t="s">
        <v>457</v>
      </c>
      <c r="L89" s="8" t="s">
        <v>457</v>
      </c>
    </row>
    <row r="90" spans="2:15" ht="25.5">
      <c r="B90" s="48" t="s">
        <v>110</v>
      </c>
      <c r="C90" s="6" t="s">
        <v>203</v>
      </c>
      <c r="D90" s="6" t="s">
        <v>633</v>
      </c>
      <c r="E90" s="10">
        <v>293464.64</v>
      </c>
      <c r="F90" s="6">
        <f t="shared" si="2"/>
        <v>293.464</v>
      </c>
      <c r="G90" s="6">
        <f>0.293464*1000</f>
        <v>293.464</v>
      </c>
      <c r="H90" s="6">
        <f t="shared" si="3"/>
        <v>204.16499999999999</v>
      </c>
      <c r="I90" s="6">
        <f>0.089299*1000</f>
        <v>89.299000000000007</v>
      </c>
      <c r="J90" s="8" t="s">
        <v>457</v>
      </c>
      <c r="K90" s="8" t="s">
        <v>457</v>
      </c>
      <c r="L90" s="8" t="s">
        <v>457</v>
      </c>
    </row>
    <row r="91" spans="2:15" s="11" customFormat="1" ht="25.5">
      <c r="B91" s="48" t="s">
        <v>111</v>
      </c>
      <c r="C91" s="12" t="s">
        <v>203</v>
      </c>
      <c r="D91" s="12" t="s">
        <v>634</v>
      </c>
      <c r="E91" s="10">
        <v>240365.02</v>
      </c>
      <c r="F91" s="6">
        <f t="shared" si="2"/>
        <v>240.36500000000001</v>
      </c>
      <c r="G91" s="12">
        <f>0.240365*1000</f>
        <v>240.36500000000001</v>
      </c>
      <c r="H91" s="6">
        <f t="shared" si="3"/>
        <v>170.65200000000002</v>
      </c>
      <c r="I91" s="12">
        <f>0.069713*1000</f>
        <v>69.712999999999994</v>
      </c>
      <c r="J91" s="8" t="s">
        <v>457</v>
      </c>
      <c r="K91" s="8" t="s">
        <v>457</v>
      </c>
      <c r="L91" s="8" t="s">
        <v>457</v>
      </c>
      <c r="O91" s="1"/>
    </row>
    <row r="92" spans="2:15" s="11" customFormat="1" ht="25.5">
      <c r="B92" s="48" t="s">
        <v>112</v>
      </c>
      <c r="C92" s="12" t="s">
        <v>203</v>
      </c>
      <c r="D92" s="12" t="s">
        <v>635</v>
      </c>
      <c r="E92" s="10">
        <v>225010.92</v>
      </c>
      <c r="F92" s="6">
        <f t="shared" si="2"/>
        <v>225.01</v>
      </c>
      <c r="G92" s="12">
        <f>0.22501*1000</f>
        <v>225.01</v>
      </c>
      <c r="H92" s="6">
        <f t="shared" si="3"/>
        <v>153.45799999999997</v>
      </c>
      <c r="I92" s="12">
        <f>0.071552*1000</f>
        <v>71.552000000000007</v>
      </c>
      <c r="J92" s="8" t="s">
        <v>457</v>
      </c>
      <c r="K92" s="8" t="s">
        <v>457</v>
      </c>
      <c r="L92" s="8" t="s">
        <v>457</v>
      </c>
      <c r="O92" s="1"/>
    </row>
    <row r="93" spans="2:15" ht="25.5">
      <c r="B93" s="48" t="s">
        <v>113</v>
      </c>
      <c r="C93" s="6" t="s">
        <v>203</v>
      </c>
      <c r="D93" s="6" t="s">
        <v>636</v>
      </c>
      <c r="E93" s="10">
        <v>195917.64</v>
      </c>
      <c r="F93" s="6">
        <f t="shared" si="2"/>
        <v>195.917</v>
      </c>
      <c r="G93" s="6">
        <f>0.195917*1000</f>
        <v>195.917</v>
      </c>
      <c r="H93" s="6">
        <f t="shared" si="3"/>
        <v>129.61500000000001</v>
      </c>
      <c r="I93" s="6">
        <f>0.066302*1000</f>
        <v>66.302000000000007</v>
      </c>
      <c r="J93" s="8" t="s">
        <v>457</v>
      </c>
      <c r="K93" s="8" t="s">
        <v>457</v>
      </c>
      <c r="L93" s="8" t="s">
        <v>457</v>
      </c>
    </row>
    <row r="94" spans="2:15" ht="25.5">
      <c r="B94" s="48" t="s">
        <v>114</v>
      </c>
      <c r="C94" s="6" t="s">
        <v>203</v>
      </c>
      <c r="D94" s="6" t="s">
        <v>637</v>
      </c>
      <c r="E94" s="10">
        <v>319636.86</v>
      </c>
      <c r="F94" s="6">
        <f t="shared" si="2"/>
        <v>319.63599999999997</v>
      </c>
      <c r="G94" s="6">
        <f>0.319636*1000</f>
        <v>319.63599999999997</v>
      </c>
      <c r="H94" s="6">
        <f t="shared" si="3"/>
        <v>218.04299999999995</v>
      </c>
      <c r="I94" s="6">
        <f>0.101593*1000</f>
        <v>101.593</v>
      </c>
      <c r="J94" s="8" t="s">
        <v>457</v>
      </c>
      <c r="K94" s="8" t="s">
        <v>457</v>
      </c>
      <c r="L94" s="8" t="s">
        <v>457</v>
      </c>
    </row>
    <row r="95" spans="2:15" ht="25.5">
      <c r="B95" s="48" t="s">
        <v>115</v>
      </c>
      <c r="C95" s="6" t="s">
        <v>203</v>
      </c>
      <c r="D95" s="6" t="s">
        <v>638</v>
      </c>
      <c r="E95" s="10">
        <v>210617.39</v>
      </c>
      <c r="F95" s="6">
        <f t="shared" si="2"/>
        <v>210.61699999999999</v>
      </c>
      <c r="G95" s="6">
        <f>0.210617*1000</f>
        <v>210.61699999999999</v>
      </c>
      <c r="H95" s="6">
        <f t="shared" si="3"/>
        <v>137.81299999999999</v>
      </c>
      <c r="I95" s="6">
        <f>0.072804*1000</f>
        <v>72.803999999999988</v>
      </c>
      <c r="J95" s="8" t="s">
        <v>457</v>
      </c>
      <c r="K95" s="8" t="s">
        <v>457</v>
      </c>
      <c r="L95" s="8" t="s">
        <v>457</v>
      </c>
    </row>
    <row r="96" spans="2:15" ht="25.5">
      <c r="B96" s="48" t="s">
        <v>116</v>
      </c>
      <c r="C96" s="6" t="s">
        <v>203</v>
      </c>
      <c r="D96" s="6" t="s">
        <v>639</v>
      </c>
      <c r="E96" s="10">
        <v>168353.48</v>
      </c>
      <c r="F96" s="6">
        <f t="shared" si="2"/>
        <v>168.35300000000001</v>
      </c>
      <c r="G96" s="6">
        <f>0.168353*1000</f>
        <v>168.35300000000001</v>
      </c>
      <c r="H96" s="6">
        <f t="shared" si="3"/>
        <v>108.34200000000001</v>
      </c>
      <c r="I96" s="6">
        <f>0.060011*1000</f>
        <v>60.011000000000003</v>
      </c>
      <c r="J96" s="8" t="s">
        <v>457</v>
      </c>
      <c r="K96" s="8" t="s">
        <v>457</v>
      </c>
      <c r="L96" s="8" t="s">
        <v>457</v>
      </c>
    </row>
    <row r="97" spans="2:12" ht="25.5">
      <c r="B97" s="48" t="s">
        <v>117</v>
      </c>
      <c r="C97" s="6" t="s">
        <v>203</v>
      </c>
      <c r="D97" s="6" t="s">
        <v>640</v>
      </c>
      <c r="E97" s="10">
        <v>40434.53</v>
      </c>
      <c r="F97" s="6">
        <f t="shared" si="2"/>
        <v>26.795999999999999</v>
      </c>
      <c r="G97" s="6">
        <f>0.026796*1000</f>
        <v>26.795999999999999</v>
      </c>
      <c r="H97" s="6">
        <f t="shared" si="3"/>
        <v>26.343</v>
      </c>
      <c r="I97" s="6">
        <f>0.000453*1000</f>
        <v>0.45300000000000001</v>
      </c>
      <c r="J97" s="8" t="s">
        <v>457</v>
      </c>
      <c r="K97" s="8" t="s">
        <v>457</v>
      </c>
      <c r="L97" s="8" t="s">
        <v>457</v>
      </c>
    </row>
    <row r="98" spans="2:12" ht="25.5">
      <c r="B98" s="48" t="s">
        <v>118</v>
      </c>
      <c r="C98" s="6" t="s">
        <v>203</v>
      </c>
      <c r="D98" s="6">
        <v>28.54</v>
      </c>
      <c r="E98" s="10">
        <v>166425.42000000001</v>
      </c>
      <c r="F98" s="6">
        <f t="shared" si="2"/>
        <v>166.42499999999998</v>
      </c>
      <c r="G98" s="6">
        <f>0.166425*1000</f>
        <v>166.42499999999998</v>
      </c>
      <c r="H98" s="6">
        <f t="shared" si="3"/>
        <v>91.818999999999974</v>
      </c>
      <c r="I98" s="6">
        <f>0.074606*1000</f>
        <v>74.606000000000009</v>
      </c>
      <c r="J98" s="8" t="s">
        <v>457</v>
      </c>
      <c r="K98" s="8" t="s">
        <v>457</v>
      </c>
      <c r="L98" s="8" t="s">
        <v>457</v>
      </c>
    </row>
    <row r="99" spans="2:12" ht="25.5">
      <c r="B99" s="48" t="s">
        <v>119</v>
      </c>
      <c r="C99" s="6" t="s">
        <v>203</v>
      </c>
      <c r="D99" s="6" t="s">
        <v>327</v>
      </c>
      <c r="E99" s="10">
        <v>30988.39</v>
      </c>
      <c r="F99" s="6">
        <f t="shared" si="2"/>
        <v>22.896000000000001</v>
      </c>
      <c r="G99" s="6">
        <f>0.022896*1000</f>
        <v>22.896000000000001</v>
      </c>
      <c r="H99" s="6">
        <f t="shared" si="3"/>
        <v>22.574000000000002</v>
      </c>
      <c r="I99" s="6">
        <f>0.000322*1000</f>
        <v>0.32200000000000001</v>
      </c>
      <c r="J99" s="8" t="s">
        <v>457</v>
      </c>
      <c r="K99" s="8" t="s">
        <v>457</v>
      </c>
      <c r="L99" s="8" t="s">
        <v>457</v>
      </c>
    </row>
    <row r="100" spans="2:12" ht="25.5">
      <c r="B100" s="48" t="s">
        <v>120</v>
      </c>
      <c r="C100" s="6" t="s">
        <v>203</v>
      </c>
      <c r="D100" s="6">
        <v>29.23</v>
      </c>
      <c r="E100" s="10">
        <v>166425.42000000001</v>
      </c>
      <c r="F100" s="6">
        <f t="shared" si="2"/>
        <v>166.42499999999998</v>
      </c>
      <c r="G100" s="6">
        <f>0.166425*1000</f>
        <v>166.42499999999998</v>
      </c>
      <c r="H100" s="6">
        <f t="shared" si="3"/>
        <v>91.818999999999974</v>
      </c>
      <c r="I100" s="6">
        <f>0.074606*1000</f>
        <v>74.606000000000009</v>
      </c>
      <c r="J100" s="8" t="s">
        <v>457</v>
      </c>
      <c r="K100" s="8" t="s">
        <v>457</v>
      </c>
      <c r="L100" s="8" t="s">
        <v>457</v>
      </c>
    </row>
    <row r="101" spans="2:12" ht="38.25">
      <c r="B101" s="48" t="s">
        <v>121</v>
      </c>
      <c r="C101" s="6" t="s">
        <v>203</v>
      </c>
      <c r="D101" s="6" t="s">
        <v>328</v>
      </c>
      <c r="E101" s="10">
        <v>59392.83</v>
      </c>
      <c r="F101" s="6">
        <f t="shared" si="2"/>
        <v>55.093999999999994</v>
      </c>
      <c r="G101" s="6">
        <f>0.055094*1000</f>
        <v>55.093999999999994</v>
      </c>
      <c r="H101" s="6">
        <f t="shared" si="3"/>
        <v>51.653999999999996</v>
      </c>
      <c r="I101" s="6">
        <f>0.00344*1000</f>
        <v>3.44</v>
      </c>
      <c r="J101" s="8" t="s">
        <v>457</v>
      </c>
      <c r="K101" s="8" t="s">
        <v>457</v>
      </c>
      <c r="L101" s="8" t="s">
        <v>457</v>
      </c>
    </row>
    <row r="102" spans="2:12" ht="25.5">
      <c r="B102" s="48" t="s">
        <v>122</v>
      </c>
      <c r="C102" s="6" t="s">
        <v>203</v>
      </c>
      <c r="D102" s="6" t="s">
        <v>641</v>
      </c>
      <c r="E102" s="10">
        <v>166199.01</v>
      </c>
      <c r="F102" s="6">
        <f t="shared" si="2"/>
        <v>166.19900000000001</v>
      </c>
      <c r="G102" s="6">
        <f>0.166199*1000</f>
        <v>166.19900000000001</v>
      </c>
      <c r="H102" s="6">
        <f t="shared" si="3"/>
        <v>129.29600000000002</v>
      </c>
      <c r="I102" s="6">
        <f>0.036903*1000</f>
        <v>36.902999999999999</v>
      </c>
      <c r="J102" s="8" t="s">
        <v>457</v>
      </c>
      <c r="K102" s="8" t="s">
        <v>457</v>
      </c>
      <c r="L102" s="8" t="s">
        <v>457</v>
      </c>
    </row>
    <row r="103" spans="2:12" ht="25.5">
      <c r="B103" s="48" t="s">
        <v>123</v>
      </c>
      <c r="C103" s="6" t="s">
        <v>203</v>
      </c>
      <c r="D103" s="6" t="s">
        <v>297</v>
      </c>
      <c r="E103" s="10">
        <v>160795.44</v>
      </c>
      <c r="F103" s="6">
        <f t="shared" si="2"/>
        <v>160.79499999999999</v>
      </c>
      <c r="G103" s="33">
        <f>0.160795*1000</f>
        <v>160.79499999999999</v>
      </c>
      <c r="H103" s="6">
        <f t="shared" si="3"/>
        <v>125.60899999999998</v>
      </c>
      <c r="I103" s="6">
        <f>0.035186*1000</f>
        <v>35.186</v>
      </c>
      <c r="J103" s="8" t="s">
        <v>457</v>
      </c>
      <c r="K103" s="8" t="s">
        <v>457</v>
      </c>
      <c r="L103" s="8" t="s">
        <v>457</v>
      </c>
    </row>
    <row r="104" spans="2:12" ht="25.5">
      <c r="B104" s="48" t="s">
        <v>124</v>
      </c>
      <c r="C104" s="6" t="s">
        <v>203</v>
      </c>
      <c r="D104" s="6" t="s">
        <v>297</v>
      </c>
      <c r="E104" s="10">
        <v>160869.07</v>
      </c>
      <c r="F104" s="6">
        <f t="shared" si="2"/>
        <v>160.869</v>
      </c>
      <c r="G104" s="6">
        <f>0.160869*1000</f>
        <v>160.869</v>
      </c>
      <c r="H104" s="6">
        <f t="shared" si="3"/>
        <v>125.68299999999999</v>
      </c>
      <c r="I104" s="6">
        <f>0.035186*1000</f>
        <v>35.186</v>
      </c>
      <c r="J104" s="8" t="s">
        <v>457</v>
      </c>
      <c r="K104" s="8" t="s">
        <v>457</v>
      </c>
      <c r="L104" s="8" t="s">
        <v>457</v>
      </c>
    </row>
    <row r="105" spans="2:12" ht="25.5">
      <c r="B105" s="48" t="s">
        <v>125</v>
      </c>
      <c r="C105" s="6" t="s">
        <v>203</v>
      </c>
      <c r="D105" s="6" t="s">
        <v>297</v>
      </c>
      <c r="E105" s="10">
        <v>115978.19</v>
      </c>
      <c r="F105" s="6">
        <f t="shared" si="2"/>
        <v>115.97799999999999</v>
      </c>
      <c r="G105" s="6">
        <f>0.115978*1000</f>
        <v>115.97799999999999</v>
      </c>
      <c r="H105" s="6">
        <f t="shared" si="3"/>
        <v>86.501999999999995</v>
      </c>
      <c r="I105" s="6">
        <f>0.029476*1000</f>
        <v>29.475999999999999</v>
      </c>
      <c r="J105" s="8" t="s">
        <v>457</v>
      </c>
      <c r="K105" s="8" t="s">
        <v>457</v>
      </c>
      <c r="L105" s="8" t="s">
        <v>457</v>
      </c>
    </row>
    <row r="106" spans="2:12">
      <c r="B106" s="48" t="s">
        <v>329</v>
      </c>
      <c r="C106" s="6" t="s">
        <v>203</v>
      </c>
      <c r="D106" s="6" t="s">
        <v>297</v>
      </c>
      <c r="E106" s="10">
        <v>164693.16</v>
      </c>
      <c r="F106" s="6">
        <f t="shared" si="2"/>
        <v>164.69300000000001</v>
      </c>
      <c r="G106" s="6">
        <f>0.164693*1000</f>
        <v>164.69300000000001</v>
      </c>
      <c r="H106" s="6">
        <f t="shared" si="3"/>
        <v>129.50700000000001</v>
      </c>
      <c r="I106" s="6">
        <f>0.035186*1000</f>
        <v>35.186</v>
      </c>
      <c r="J106" s="8" t="s">
        <v>457</v>
      </c>
      <c r="K106" s="8" t="s">
        <v>457</v>
      </c>
      <c r="L106" s="8" t="s">
        <v>457</v>
      </c>
    </row>
    <row r="107" spans="2:12" ht="25.5">
      <c r="B107" s="48" t="s">
        <v>127</v>
      </c>
      <c r="C107" s="6" t="s">
        <v>203</v>
      </c>
      <c r="D107" s="6" t="s">
        <v>297</v>
      </c>
      <c r="E107" s="10">
        <v>160795.44</v>
      </c>
      <c r="F107" s="6">
        <f t="shared" si="2"/>
        <v>160.79499999999999</v>
      </c>
      <c r="G107" s="6">
        <f>0.160795*1000</f>
        <v>160.79499999999999</v>
      </c>
      <c r="H107" s="6">
        <f t="shared" si="3"/>
        <v>125.60899999999998</v>
      </c>
      <c r="I107" s="6">
        <f>0.035186*1000</f>
        <v>35.186</v>
      </c>
      <c r="J107" s="8" t="s">
        <v>457</v>
      </c>
      <c r="K107" s="8" t="s">
        <v>457</v>
      </c>
      <c r="L107" s="8" t="s">
        <v>457</v>
      </c>
    </row>
    <row r="108" spans="2:12" ht="25.5">
      <c r="B108" s="48" t="s">
        <v>128</v>
      </c>
      <c r="C108" s="6" t="s">
        <v>203</v>
      </c>
      <c r="D108" s="6" t="s">
        <v>294</v>
      </c>
      <c r="E108" s="10">
        <v>76506.399999999994</v>
      </c>
      <c r="F108" s="6">
        <f t="shared" si="2"/>
        <v>76.506</v>
      </c>
      <c r="G108" s="6">
        <f>0.076506*1000</f>
        <v>76.506</v>
      </c>
      <c r="H108" s="6">
        <f t="shared" si="3"/>
        <v>59.313000000000002</v>
      </c>
      <c r="I108" s="6">
        <f>0.017193*1000</f>
        <v>17.193000000000001</v>
      </c>
      <c r="J108" s="8" t="s">
        <v>457</v>
      </c>
      <c r="K108" s="8" t="s">
        <v>457</v>
      </c>
      <c r="L108" s="8" t="s">
        <v>457</v>
      </c>
    </row>
    <row r="109" spans="2:12" ht="25.5">
      <c r="B109" s="48" t="s">
        <v>129</v>
      </c>
      <c r="C109" s="6" t="s">
        <v>203</v>
      </c>
      <c r="D109" s="6" t="s">
        <v>297</v>
      </c>
      <c r="E109" s="10">
        <v>160920.88</v>
      </c>
      <c r="F109" s="6">
        <f t="shared" si="2"/>
        <v>160.92000000000002</v>
      </c>
      <c r="G109" s="6">
        <f>0.16092*1000</f>
        <v>160.92000000000002</v>
      </c>
      <c r="H109" s="6">
        <f t="shared" si="3"/>
        <v>125.70100000000002</v>
      </c>
      <c r="I109" s="6">
        <f>0.035219*1000</f>
        <v>35.219000000000001</v>
      </c>
      <c r="J109" s="8" t="s">
        <v>457</v>
      </c>
      <c r="K109" s="8" t="s">
        <v>457</v>
      </c>
      <c r="L109" s="8" t="s">
        <v>457</v>
      </c>
    </row>
    <row r="110" spans="2:12" ht="25.5">
      <c r="B110" s="48" t="s">
        <v>130</v>
      </c>
      <c r="C110" s="6" t="s">
        <v>203</v>
      </c>
      <c r="D110" s="6" t="s">
        <v>294</v>
      </c>
      <c r="E110" s="10">
        <v>76506.399999999994</v>
      </c>
      <c r="F110" s="6">
        <f t="shared" si="2"/>
        <v>76.506</v>
      </c>
      <c r="G110" s="6">
        <f>0.076506*1000</f>
        <v>76.506</v>
      </c>
      <c r="H110" s="6">
        <f t="shared" si="3"/>
        <v>59.313000000000002</v>
      </c>
      <c r="I110" s="6">
        <f>0.017193*1000</f>
        <v>17.193000000000001</v>
      </c>
      <c r="J110" s="8" t="s">
        <v>457</v>
      </c>
      <c r="K110" s="8" t="s">
        <v>457</v>
      </c>
      <c r="L110" s="8" t="s">
        <v>457</v>
      </c>
    </row>
    <row r="111" spans="2:12">
      <c r="B111" s="48" t="s">
        <v>131</v>
      </c>
      <c r="C111" s="6" t="s">
        <v>203</v>
      </c>
      <c r="D111" s="6" t="s">
        <v>297</v>
      </c>
      <c r="E111" s="10">
        <v>165896.93</v>
      </c>
      <c r="F111" s="6">
        <f t="shared" si="2"/>
        <v>165.89599999999999</v>
      </c>
      <c r="G111" s="6">
        <f>0.165896*1000</f>
        <v>165.89599999999999</v>
      </c>
      <c r="H111" s="6">
        <f t="shared" si="3"/>
        <v>128.78299999999999</v>
      </c>
      <c r="I111" s="6">
        <f>0.037113*1000</f>
        <v>37.113</v>
      </c>
      <c r="J111" s="8" t="s">
        <v>457</v>
      </c>
      <c r="K111" s="8" t="s">
        <v>457</v>
      </c>
      <c r="L111" s="8" t="s">
        <v>457</v>
      </c>
    </row>
    <row r="112" spans="2:12" ht="38.25">
      <c r="B112" s="48" t="s">
        <v>132</v>
      </c>
      <c r="C112" s="6" t="s">
        <v>203</v>
      </c>
      <c r="D112" s="6" t="s">
        <v>315</v>
      </c>
      <c r="E112" s="10">
        <v>200140.51</v>
      </c>
      <c r="F112" s="6">
        <f t="shared" si="2"/>
        <v>200.14000000000001</v>
      </c>
      <c r="G112" s="6">
        <f>0.20014*1000</f>
        <v>200.14000000000001</v>
      </c>
      <c r="H112" s="6">
        <f t="shared" si="3"/>
        <v>152.45500000000001</v>
      </c>
      <c r="I112" s="6">
        <f>0.047685*1000</f>
        <v>47.684999999999995</v>
      </c>
      <c r="J112" s="8" t="s">
        <v>457</v>
      </c>
      <c r="K112" s="8" t="s">
        <v>457</v>
      </c>
      <c r="L112" s="8" t="s">
        <v>457</v>
      </c>
    </row>
    <row r="113" spans="2:15" ht="38.25">
      <c r="B113" s="48" t="s">
        <v>133</v>
      </c>
      <c r="C113" s="6" t="s">
        <v>203</v>
      </c>
      <c r="D113" s="6" t="s">
        <v>297</v>
      </c>
      <c r="E113" s="10">
        <v>128179.55</v>
      </c>
      <c r="F113" s="6">
        <f t="shared" si="2"/>
        <v>128.17899999999997</v>
      </c>
      <c r="G113" s="6">
        <f>0.128179*1000</f>
        <v>128.17899999999997</v>
      </c>
      <c r="H113" s="6">
        <f t="shared" si="3"/>
        <v>99.191999999999979</v>
      </c>
      <c r="I113" s="6">
        <f>0.028987*1000</f>
        <v>28.986999999999998</v>
      </c>
      <c r="J113" s="8" t="s">
        <v>457</v>
      </c>
      <c r="K113" s="8" t="s">
        <v>457</v>
      </c>
      <c r="L113" s="8" t="s">
        <v>457</v>
      </c>
    </row>
    <row r="114" spans="2:15" ht="38.25">
      <c r="B114" s="48" t="s">
        <v>134</v>
      </c>
      <c r="C114" s="6" t="s">
        <v>203</v>
      </c>
      <c r="D114" s="6" t="s">
        <v>297</v>
      </c>
      <c r="E114" s="10">
        <v>126298.25</v>
      </c>
      <c r="F114" s="6">
        <f t="shared" si="2"/>
        <v>126.29799999999999</v>
      </c>
      <c r="G114" s="33">
        <f>0.126298*1000</f>
        <v>126.29799999999999</v>
      </c>
      <c r="H114" s="6">
        <f t="shared" si="3"/>
        <v>98.018999999999991</v>
      </c>
      <c r="I114" s="6">
        <f>0.028279*1000</f>
        <v>28.279</v>
      </c>
      <c r="J114" s="8" t="s">
        <v>457</v>
      </c>
      <c r="K114" s="8" t="s">
        <v>457</v>
      </c>
      <c r="L114" s="8" t="s">
        <v>457</v>
      </c>
    </row>
    <row r="115" spans="2:15" ht="25.5">
      <c r="B115" s="48" t="s">
        <v>135</v>
      </c>
      <c r="C115" s="6" t="s">
        <v>203</v>
      </c>
      <c r="D115" s="6" t="s">
        <v>297</v>
      </c>
      <c r="E115" s="10">
        <v>136711.37</v>
      </c>
      <c r="F115" s="6">
        <f t="shared" si="2"/>
        <v>136.71100000000001</v>
      </c>
      <c r="G115" s="6">
        <f>0.136711*1000</f>
        <v>136.71100000000001</v>
      </c>
      <c r="H115" s="6">
        <f t="shared" si="3"/>
        <v>102.96800000000002</v>
      </c>
      <c r="I115" s="6">
        <f>0.033743*1000</f>
        <v>33.743000000000002</v>
      </c>
      <c r="J115" s="8" t="s">
        <v>457</v>
      </c>
      <c r="K115" s="8" t="s">
        <v>457</v>
      </c>
      <c r="L115" s="8" t="s">
        <v>457</v>
      </c>
    </row>
    <row r="116" spans="2:15" ht="25.5">
      <c r="B116" s="48" t="s">
        <v>136</v>
      </c>
      <c r="C116" s="6" t="s">
        <v>203</v>
      </c>
      <c r="D116" s="6" t="s">
        <v>294</v>
      </c>
      <c r="E116" s="10">
        <v>58144.74</v>
      </c>
      <c r="F116" s="6">
        <f t="shared" si="2"/>
        <v>58.143999999999998</v>
      </c>
      <c r="G116" s="6">
        <f>0.058144*1000</f>
        <v>58.143999999999998</v>
      </c>
      <c r="H116" s="6">
        <f t="shared" si="3"/>
        <v>43.280999999999999</v>
      </c>
      <c r="I116" s="6">
        <f>0.014863*1000</f>
        <v>14.863</v>
      </c>
      <c r="J116" s="8" t="s">
        <v>457</v>
      </c>
      <c r="K116" s="8" t="s">
        <v>457</v>
      </c>
      <c r="L116" s="8" t="s">
        <v>457</v>
      </c>
    </row>
    <row r="117" spans="2:15" ht="25.5">
      <c r="B117" s="48" t="s">
        <v>137</v>
      </c>
      <c r="C117" s="6" t="s">
        <v>203</v>
      </c>
      <c r="D117" s="6" t="s">
        <v>297</v>
      </c>
      <c r="E117" s="10">
        <v>116134.97</v>
      </c>
      <c r="F117" s="6">
        <f t="shared" si="2"/>
        <v>116.134</v>
      </c>
      <c r="G117" s="6">
        <f>0.116134*1000</f>
        <v>116.134</v>
      </c>
      <c r="H117" s="6">
        <f t="shared" si="3"/>
        <v>86.591999999999999</v>
      </c>
      <c r="I117" s="6">
        <f>0.029542*1000</f>
        <v>29.541999999999998</v>
      </c>
      <c r="J117" s="8" t="s">
        <v>457</v>
      </c>
      <c r="K117" s="8" t="s">
        <v>457</v>
      </c>
      <c r="L117" s="8" t="s">
        <v>457</v>
      </c>
    </row>
    <row r="118" spans="2:15" ht="25.5">
      <c r="B118" s="48" t="s">
        <v>138</v>
      </c>
      <c r="C118" s="6" t="s">
        <v>203</v>
      </c>
      <c r="D118" s="6" t="s">
        <v>294</v>
      </c>
      <c r="E118" s="10">
        <v>58071.11</v>
      </c>
      <c r="F118" s="6">
        <f t="shared" si="2"/>
        <v>58.070999999999998</v>
      </c>
      <c r="G118" s="6">
        <f>0.058071*1000</f>
        <v>58.070999999999998</v>
      </c>
      <c r="H118" s="6">
        <f t="shared" si="3"/>
        <v>43.207999999999998</v>
      </c>
      <c r="I118" s="6">
        <f>0.014863*1000</f>
        <v>14.863</v>
      </c>
      <c r="J118" s="8" t="s">
        <v>457</v>
      </c>
      <c r="K118" s="8" t="s">
        <v>457</v>
      </c>
      <c r="L118" s="8" t="s">
        <v>457</v>
      </c>
    </row>
    <row r="119" spans="2:15" ht="38.25">
      <c r="B119" s="48" t="s">
        <v>139</v>
      </c>
      <c r="C119" s="6" t="s">
        <v>203</v>
      </c>
      <c r="D119" s="6" t="s">
        <v>315</v>
      </c>
      <c r="E119" s="10">
        <v>227351.23</v>
      </c>
      <c r="F119" s="6">
        <f t="shared" si="2"/>
        <v>227.351</v>
      </c>
      <c r="G119" s="6">
        <f>0.227351*1000</f>
        <v>227.351</v>
      </c>
      <c r="H119" s="6">
        <f t="shared" si="3"/>
        <v>175.48099999999999</v>
      </c>
      <c r="I119" s="6">
        <f>0.05187*1000</f>
        <v>51.87</v>
      </c>
      <c r="J119" s="8" t="s">
        <v>457</v>
      </c>
      <c r="K119" s="8" t="s">
        <v>457</v>
      </c>
      <c r="L119" s="8" t="s">
        <v>457</v>
      </c>
    </row>
    <row r="120" spans="2:15" ht="25.5">
      <c r="B120" s="48" t="s">
        <v>140</v>
      </c>
      <c r="C120" s="6" t="s">
        <v>203</v>
      </c>
      <c r="D120" s="6" t="s">
        <v>642</v>
      </c>
      <c r="E120" s="7">
        <v>258629.09</v>
      </c>
      <c r="F120" s="6">
        <f t="shared" si="2"/>
        <v>258.62900000000002</v>
      </c>
      <c r="G120" s="6">
        <f>0.258629*1000</f>
        <v>258.62900000000002</v>
      </c>
      <c r="H120" s="6">
        <f t="shared" si="3"/>
        <v>148.05300000000003</v>
      </c>
      <c r="I120" s="6">
        <f>0.110576*1000</f>
        <v>110.57599999999999</v>
      </c>
      <c r="J120" s="8" t="s">
        <v>457</v>
      </c>
      <c r="K120" s="8" t="s">
        <v>457</v>
      </c>
      <c r="L120" s="8" t="s">
        <v>457</v>
      </c>
    </row>
    <row r="121" spans="2:15" ht="25.5">
      <c r="B121" s="48" t="s">
        <v>141</v>
      </c>
      <c r="C121" s="6" t="s">
        <v>203</v>
      </c>
      <c r="D121" s="6" t="s">
        <v>318</v>
      </c>
      <c r="E121" s="10">
        <v>270595.21000000002</v>
      </c>
      <c r="F121" s="6">
        <f t="shared" si="2"/>
        <v>270.59499999999997</v>
      </c>
      <c r="G121" s="6">
        <f>0.270595*1000</f>
        <v>270.59499999999997</v>
      </c>
      <c r="H121" s="6">
        <f t="shared" si="3"/>
        <v>207.47099999999998</v>
      </c>
      <c r="I121" s="6">
        <f>0.063124*1000</f>
        <v>63.124000000000002</v>
      </c>
      <c r="J121" s="8" t="s">
        <v>457</v>
      </c>
      <c r="K121" s="8" t="s">
        <v>457</v>
      </c>
      <c r="L121" s="8" t="s">
        <v>457</v>
      </c>
    </row>
    <row r="122" spans="2:15" ht="63.75">
      <c r="B122" s="48" t="s">
        <v>330</v>
      </c>
      <c r="C122" s="6" t="s">
        <v>203</v>
      </c>
      <c r="D122" s="6" t="s">
        <v>331</v>
      </c>
      <c r="E122" s="10">
        <v>1682200.35</v>
      </c>
      <c r="F122" s="6">
        <f t="shared" si="2"/>
        <v>1682.1999999999998</v>
      </c>
      <c r="G122" s="6">
        <f>1.6822*1000</f>
        <v>1682.1999999999998</v>
      </c>
      <c r="H122" s="6">
        <f t="shared" si="3"/>
        <v>1115.0639999999999</v>
      </c>
      <c r="I122" s="6">
        <f>0.567136*1000</f>
        <v>567.13599999999997</v>
      </c>
      <c r="J122" s="8" t="s">
        <v>457</v>
      </c>
      <c r="K122" s="8" t="s">
        <v>457</v>
      </c>
      <c r="L122" s="8" t="s">
        <v>457</v>
      </c>
    </row>
    <row r="123" spans="2:15" ht="89.25">
      <c r="B123" s="48" t="s">
        <v>143</v>
      </c>
      <c r="C123" s="6" t="s">
        <v>203</v>
      </c>
      <c r="D123" s="6" t="s">
        <v>332</v>
      </c>
      <c r="E123" s="10">
        <v>548403.13</v>
      </c>
      <c r="F123" s="6">
        <f t="shared" si="2"/>
        <v>548.40300000000002</v>
      </c>
      <c r="G123" s="6">
        <f>0.548403*1000</f>
        <v>548.40300000000002</v>
      </c>
      <c r="H123" s="6">
        <f t="shared" si="3"/>
        <v>243.47399999999999</v>
      </c>
      <c r="I123" s="6">
        <f>0.304929*1000</f>
        <v>304.92900000000003</v>
      </c>
      <c r="J123" s="8" t="s">
        <v>457</v>
      </c>
      <c r="K123" s="8" t="s">
        <v>457</v>
      </c>
      <c r="L123" s="8" t="s">
        <v>457</v>
      </c>
    </row>
    <row r="124" spans="2:15" ht="38.25">
      <c r="B124" s="48" t="s">
        <v>144</v>
      </c>
      <c r="C124" s="6" t="s">
        <v>203</v>
      </c>
      <c r="D124" s="6" t="s">
        <v>333</v>
      </c>
      <c r="E124" s="10">
        <v>683979.89</v>
      </c>
      <c r="F124" s="6">
        <f t="shared" si="2"/>
        <v>692.87400000000002</v>
      </c>
      <c r="G124" s="6">
        <f>0.692874*1000</f>
        <v>692.87400000000002</v>
      </c>
      <c r="H124" s="6">
        <f t="shared" si="3"/>
        <v>258.476</v>
      </c>
      <c r="I124" s="6">
        <f>0.434398*1000</f>
        <v>434.39800000000002</v>
      </c>
      <c r="J124" s="8" t="s">
        <v>457</v>
      </c>
      <c r="K124" s="8" t="s">
        <v>457</v>
      </c>
      <c r="L124" s="8" t="s">
        <v>457</v>
      </c>
    </row>
    <row r="125" spans="2:15" s="11" customFormat="1" ht="63.75">
      <c r="B125" s="48" t="s">
        <v>145</v>
      </c>
      <c r="C125" s="12" t="s">
        <v>203</v>
      </c>
      <c r="D125" s="12" t="s">
        <v>334</v>
      </c>
      <c r="E125" s="10">
        <v>1289745.26</v>
      </c>
      <c r="F125" s="6">
        <f t="shared" si="2"/>
        <v>1289.7449999999999</v>
      </c>
      <c r="G125" s="12">
        <f>1.289745*1000</f>
        <v>1289.7449999999999</v>
      </c>
      <c r="H125" s="6">
        <f t="shared" si="3"/>
        <v>890.76499999999987</v>
      </c>
      <c r="I125" s="12">
        <f>0.39898*1000</f>
        <v>398.98</v>
      </c>
      <c r="J125" s="8" t="s">
        <v>457</v>
      </c>
      <c r="K125" s="8" t="s">
        <v>457</v>
      </c>
      <c r="L125" s="8" t="s">
        <v>457</v>
      </c>
      <c r="O125" s="1"/>
    </row>
    <row r="126" spans="2:15" s="11" customFormat="1" ht="38.25">
      <c r="B126" s="48" t="s">
        <v>146</v>
      </c>
      <c r="C126" s="12" t="s">
        <v>203</v>
      </c>
      <c r="D126" s="12" t="s">
        <v>335</v>
      </c>
      <c r="E126" s="10">
        <v>139131.89000000001</v>
      </c>
      <c r="F126" s="6">
        <f t="shared" si="2"/>
        <v>139.37</v>
      </c>
      <c r="G126" s="12">
        <f>0.13937*1000</f>
        <v>139.37</v>
      </c>
      <c r="H126" s="6">
        <f t="shared" si="3"/>
        <v>63.580000000000013</v>
      </c>
      <c r="I126" s="12">
        <f>0.07579*1000</f>
        <v>75.789999999999992</v>
      </c>
      <c r="J126" s="8" t="s">
        <v>457</v>
      </c>
      <c r="K126" s="8" t="s">
        <v>457</v>
      </c>
      <c r="L126" s="8" t="s">
        <v>457</v>
      </c>
      <c r="O126" s="1"/>
    </row>
    <row r="127" spans="2:15" ht="38.25">
      <c r="B127" s="48" t="s">
        <v>147</v>
      </c>
      <c r="C127" s="6" t="s">
        <v>203</v>
      </c>
      <c r="D127" s="6" t="s">
        <v>336</v>
      </c>
      <c r="E127" s="7">
        <v>709129.04</v>
      </c>
      <c r="F127" s="6">
        <f t="shared" si="2"/>
        <v>709.12699999999995</v>
      </c>
      <c r="G127" s="6">
        <f>0.709127*1000</f>
        <v>709.12699999999995</v>
      </c>
      <c r="H127" s="6">
        <f t="shared" si="3"/>
        <v>351.18799999999993</v>
      </c>
      <c r="I127" s="6">
        <f>0.357939*1000</f>
        <v>357.93900000000002</v>
      </c>
      <c r="J127" s="8" t="s">
        <v>457</v>
      </c>
      <c r="K127" s="8" t="s">
        <v>457</v>
      </c>
      <c r="L127" s="8" t="s">
        <v>457</v>
      </c>
    </row>
    <row r="128" spans="2:15" ht="38.25">
      <c r="B128" s="48" t="s">
        <v>148</v>
      </c>
      <c r="C128" s="6" t="s">
        <v>203</v>
      </c>
      <c r="D128" s="6" t="s">
        <v>337</v>
      </c>
      <c r="E128" s="7">
        <v>4406662.17</v>
      </c>
      <c r="F128" s="6">
        <f t="shared" si="2"/>
        <v>4406.6620000000003</v>
      </c>
      <c r="G128" s="6">
        <f>4.406662*1000</f>
        <v>4406.6620000000003</v>
      </c>
      <c r="H128" s="6">
        <f t="shared" si="3"/>
        <v>1594.0660000000003</v>
      </c>
      <c r="I128" s="6">
        <f>2.812596*1000</f>
        <v>2812.596</v>
      </c>
      <c r="J128" s="8" t="s">
        <v>457</v>
      </c>
      <c r="K128" s="8" t="s">
        <v>457</v>
      </c>
      <c r="L128" s="8" t="s">
        <v>457</v>
      </c>
    </row>
    <row r="129" spans="2:12" ht="38.25">
      <c r="B129" s="48" t="s">
        <v>149</v>
      </c>
      <c r="C129" s="6" t="s">
        <v>203</v>
      </c>
      <c r="D129" s="6" t="s">
        <v>338</v>
      </c>
      <c r="E129" s="10">
        <v>1884347.58</v>
      </c>
      <c r="F129" s="6">
        <f t="shared" si="2"/>
        <v>1884.347</v>
      </c>
      <c r="G129" s="6">
        <f>1.884347*1000</f>
        <v>1884.347</v>
      </c>
      <c r="H129" s="6">
        <f t="shared" si="3"/>
        <v>728.53300000000013</v>
      </c>
      <c r="I129" s="6">
        <f>1.155814*1000</f>
        <v>1155.8139999999999</v>
      </c>
      <c r="J129" s="8" t="s">
        <v>457</v>
      </c>
      <c r="K129" s="8" t="s">
        <v>457</v>
      </c>
      <c r="L129" s="8" t="s">
        <v>457</v>
      </c>
    </row>
    <row r="130" spans="2:12" ht="38.25">
      <c r="B130" s="48" t="s">
        <v>150</v>
      </c>
      <c r="C130" s="6" t="s">
        <v>203</v>
      </c>
      <c r="D130" s="6" t="s">
        <v>339</v>
      </c>
      <c r="E130" s="10">
        <v>665743.59</v>
      </c>
      <c r="F130" s="6">
        <f t="shared" si="2"/>
        <v>665.74299999999994</v>
      </c>
      <c r="G130" s="6">
        <f>0.665743*1000</f>
        <v>665.74299999999994</v>
      </c>
      <c r="H130" s="6">
        <f t="shared" si="3"/>
        <v>331.11499999999995</v>
      </c>
      <c r="I130" s="6">
        <f>0.334628*1000</f>
        <v>334.62799999999999</v>
      </c>
      <c r="J130" s="8" t="s">
        <v>457</v>
      </c>
      <c r="K130" s="8" t="s">
        <v>457</v>
      </c>
      <c r="L130" s="8" t="s">
        <v>457</v>
      </c>
    </row>
    <row r="131" spans="2:12" ht="38.25">
      <c r="B131" s="48" t="s">
        <v>151</v>
      </c>
      <c r="C131" s="6" t="s">
        <v>203</v>
      </c>
      <c r="D131" s="6" t="s">
        <v>340</v>
      </c>
      <c r="E131" s="10">
        <v>264425.06</v>
      </c>
      <c r="F131" s="6">
        <f t="shared" si="2"/>
        <v>264.42500000000001</v>
      </c>
      <c r="G131" s="6">
        <f>0.264425*1000</f>
        <v>264.42500000000001</v>
      </c>
      <c r="H131" s="6">
        <f t="shared" si="3"/>
        <v>184.053</v>
      </c>
      <c r="I131" s="6">
        <f>0.080372*1000</f>
        <v>80.372</v>
      </c>
      <c r="J131" s="8" t="s">
        <v>457</v>
      </c>
      <c r="K131" s="8" t="s">
        <v>457</v>
      </c>
      <c r="L131" s="8" t="s">
        <v>457</v>
      </c>
    </row>
    <row r="132" spans="2:12" ht="38.25">
      <c r="B132" s="48" t="s">
        <v>152</v>
      </c>
      <c r="C132" s="6" t="s">
        <v>203</v>
      </c>
      <c r="D132" s="6" t="s">
        <v>297</v>
      </c>
      <c r="E132" s="10">
        <v>132212.53</v>
      </c>
      <c r="F132" s="6">
        <f t="shared" si="2"/>
        <v>132.21199999999999</v>
      </c>
      <c r="G132" s="6">
        <f>0.132212*1000</f>
        <v>132.21199999999999</v>
      </c>
      <c r="H132" s="6">
        <f t="shared" si="3"/>
        <v>92.025999999999982</v>
      </c>
      <c r="I132" s="6">
        <f>0.040186*1000</f>
        <v>40.186</v>
      </c>
      <c r="J132" s="8" t="s">
        <v>457</v>
      </c>
      <c r="K132" s="8" t="s">
        <v>457</v>
      </c>
      <c r="L132" s="8" t="s">
        <v>457</v>
      </c>
    </row>
    <row r="133" spans="2:12" ht="25.5">
      <c r="B133" s="48" t="s">
        <v>153</v>
      </c>
      <c r="C133" s="6" t="s">
        <v>203</v>
      </c>
      <c r="D133" s="6" t="s">
        <v>339</v>
      </c>
      <c r="E133" s="10">
        <v>187342.69</v>
      </c>
      <c r="F133" s="6">
        <f t="shared" si="2"/>
        <v>187.34200000000001</v>
      </c>
      <c r="G133" s="6">
        <f>0.187342*1000</f>
        <v>187.34200000000001</v>
      </c>
      <c r="H133" s="6">
        <f t="shared" si="3"/>
        <v>123.54500000000002</v>
      </c>
      <c r="I133" s="6">
        <f>0.063797*1000</f>
        <v>63.797000000000004</v>
      </c>
      <c r="J133" s="8" t="s">
        <v>457</v>
      </c>
      <c r="K133" s="8" t="s">
        <v>457</v>
      </c>
      <c r="L133" s="8" t="s">
        <v>457</v>
      </c>
    </row>
    <row r="134" spans="2:12" ht="38.25">
      <c r="B134" s="48" t="s">
        <v>154</v>
      </c>
      <c r="C134" s="6" t="s">
        <v>203</v>
      </c>
      <c r="D134" s="6" t="s">
        <v>339</v>
      </c>
      <c r="E134" s="10">
        <v>151151.43</v>
      </c>
      <c r="F134" s="6">
        <f t="shared" si="2"/>
        <v>151.15100000000001</v>
      </c>
      <c r="G134" s="6">
        <f>0.151151*1000</f>
        <v>151.15100000000001</v>
      </c>
      <c r="H134" s="6">
        <f t="shared" si="3"/>
        <v>104.876</v>
      </c>
      <c r="I134" s="6">
        <f>0.046275*1000</f>
        <v>46.274999999999999</v>
      </c>
      <c r="J134" s="8" t="s">
        <v>457</v>
      </c>
      <c r="K134" s="8" t="s">
        <v>457</v>
      </c>
      <c r="L134" s="8" t="s">
        <v>457</v>
      </c>
    </row>
    <row r="135" spans="2:12" ht="38.25">
      <c r="B135" s="48" t="s">
        <v>155</v>
      </c>
      <c r="C135" s="6" t="s">
        <v>203</v>
      </c>
      <c r="D135" s="6" t="s">
        <v>297</v>
      </c>
      <c r="E135" s="7">
        <v>132212.53</v>
      </c>
      <c r="F135" s="6">
        <f t="shared" ref="F135:F158" si="4">G135</f>
        <v>132.21199999999999</v>
      </c>
      <c r="G135" s="6">
        <f>0.132212*1000</f>
        <v>132.21199999999999</v>
      </c>
      <c r="H135" s="6">
        <f t="shared" ref="H135:H158" si="5">G135-I135</f>
        <v>92.025999999999982</v>
      </c>
      <c r="I135" s="6">
        <f>0.040186*1000</f>
        <v>40.186</v>
      </c>
      <c r="J135" s="8" t="s">
        <v>457</v>
      </c>
      <c r="K135" s="8" t="s">
        <v>457</v>
      </c>
      <c r="L135" s="8" t="s">
        <v>457</v>
      </c>
    </row>
    <row r="136" spans="2:12" ht="25.5">
      <c r="B136" s="48" t="s">
        <v>156</v>
      </c>
      <c r="C136" s="6" t="s">
        <v>203</v>
      </c>
      <c r="D136" s="6" t="s">
        <v>643</v>
      </c>
      <c r="E136" s="10">
        <v>1268360.17</v>
      </c>
      <c r="F136" s="6">
        <f t="shared" si="4"/>
        <v>1268.3599999999999</v>
      </c>
      <c r="G136" s="6">
        <f>1.26836*1000</f>
        <v>1268.3599999999999</v>
      </c>
      <c r="H136" s="6">
        <f t="shared" si="5"/>
        <v>622.79799999999989</v>
      </c>
      <c r="I136" s="6">
        <f>0.645562*1000</f>
        <v>645.56200000000001</v>
      </c>
      <c r="J136" s="8" t="s">
        <v>457</v>
      </c>
      <c r="K136" s="8" t="s">
        <v>457</v>
      </c>
      <c r="L136" s="8" t="s">
        <v>457</v>
      </c>
    </row>
    <row r="137" spans="2:12" ht="25.5">
      <c r="B137" s="48" t="s">
        <v>157</v>
      </c>
      <c r="C137" s="6" t="s">
        <v>203</v>
      </c>
      <c r="D137" s="6" t="s">
        <v>341</v>
      </c>
      <c r="E137" s="10">
        <v>32742.48</v>
      </c>
      <c r="F137" s="6">
        <f t="shared" si="4"/>
        <v>33.196999999999996</v>
      </c>
      <c r="G137" s="6">
        <f>0.033197*1000</f>
        <v>33.196999999999996</v>
      </c>
      <c r="H137" s="6">
        <f t="shared" si="5"/>
        <v>32.845999999999997</v>
      </c>
      <c r="I137" s="6">
        <f>0.000351*1000</f>
        <v>0.35100000000000003</v>
      </c>
      <c r="J137" s="8" t="s">
        <v>457</v>
      </c>
      <c r="K137" s="8" t="s">
        <v>457</v>
      </c>
      <c r="L137" s="8" t="s">
        <v>457</v>
      </c>
    </row>
    <row r="138" spans="2:12" ht="51">
      <c r="B138" s="48" t="s">
        <v>158</v>
      </c>
      <c r="C138" s="6" t="s">
        <v>203</v>
      </c>
      <c r="D138" s="6" t="s">
        <v>356</v>
      </c>
      <c r="E138" s="10">
        <v>2416150.09</v>
      </c>
      <c r="F138" s="6">
        <f t="shared" si="4"/>
        <v>2414.0309999999999</v>
      </c>
      <c r="G138" s="6">
        <f>2.414031*1000</f>
        <v>2414.0309999999999</v>
      </c>
      <c r="H138" s="6">
        <f t="shared" si="5"/>
        <v>1800.741</v>
      </c>
      <c r="I138" s="6">
        <f>0.61329*1000</f>
        <v>613.29</v>
      </c>
      <c r="J138" s="8" t="s">
        <v>457</v>
      </c>
      <c r="K138" s="8" t="s">
        <v>457</v>
      </c>
      <c r="L138" s="8" t="s">
        <v>457</v>
      </c>
    </row>
    <row r="139" spans="2:12" ht="38.25">
      <c r="B139" s="48" t="s">
        <v>159</v>
      </c>
      <c r="C139" s="6" t="s">
        <v>203</v>
      </c>
      <c r="D139" s="6" t="s">
        <v>342</v>
      </c>
      <c r="E139" s="10">
        <v>1208651.0900000001</v>
      </c>
      <c r="F139" s="6">
        <f t="shared" si="4"/>
        <v>1208.691</v>
      </c>
      <c r="G139" s="6">
        <f>1.208691*1000</f>
        <v>1208.691</v>
      </c>
      <c r="H139" s="6">
        <f t="shared" si="5"/>
        <v>882.72400000000005</v>
      </c>
      <c r="I139" s="6">
        <f>0.325967*1000</f>
        <v>325.96699999999998</v>
      </c>
      <c r="J139" s="8" t="s">
        <v>457</v>
      </c>
      <c r="K139" s="8" t="s">
        <v>457</v>
      </c>
      <c r="L139" s="8" t="s">
        <v>457</v>
      </c>
    </row>
    <row r="140" spans="2:12" ht="51">
      <c r="B140" s="48" t="s">
        <v>160</v>
      </c>
      <c r="C140" s="6" t="s">
        <v>203</v>
      </c>
      <c r="D140" s="6" t="s">
        <v>344</v>
      </c>
      <c r="E140" s="10">
        <v>49942</v>
      </c>
      <c r="F140" s="6">
        <f t="shared" si="4"/>
        <v>52.741</v>
      </c>
      <c r="G140" s="6">
        <f>0.052741*1000</f>
        <v>52.741</v>
      </c>
      <c r="H140" s="6">
        <f t="shared" si="5"/>
        <v>37.932000000000002</v>
      </c>
      <c r="I140" s="6">
        <f>0.014809*1000</f>
        <v>14.808999999999999</v>
      </c>
      <c r="J140" s="8" t="s">
        <v>457</v>
      </c>
      <c r="K140" s="8" t="s">
        <v>457</v>
      </c>
      <c r="L140" s="8" t="s">
        <v>457</v>
      </c>
    </row>
    <row r="141" spans="2:12" ht="25.5">
      <c r="B141" s="48" t="s">
        <v>161</v>
      </c>
      <c r="C141" s="6" t="s">
        <v>203</v>
      </c>
      <c r="D141" s="6" t="s">
        <v>345</v>
      </c>
      <c r="E141" s="13">
        <v>108134.47</v>
      </c>
      <c r="F141" s="6">
        <f t="shared" si="4"/>
        <v>108.134</v>
      </c>
      <c r="G141" s="6">
        <f>0.108134*1000</f>
        <v>108.134</v>
      </c>
      <c r="H141" s="6">
        <f t="shared" si="5"/>
        <v>71.531999999999996</v>
      </c>
      <c r="I141" s="6">
        <f>0.036602*1000</f>
        <v>36.602000000000004</v>
      </c>
      <c r="J141" s="8" t="s">
        <v>457</v>
      </c>
      <c r="K141" s="8" t="s">
        <v>457</v>
      </c>
      <c r="L141" s="8" t="s">
        <v>457</v>
      </c>
    </row>
    <row r="142" spans="2:12" ht="25.5">
      <c r="B142" s="48" t="s">
        <v>162</v>
      </c>
      <c r="C142" s="6" t="s">
        <v>203</v>
      </c>
      <c r="D142" s="6" t="s">
        <v>644</v>
      </c>
      <c r="E142" s="14">
        <v>317896.01195999997</v>
      </c>
      <c r="F142" s="6">
        <f t="shared" si="4"/>
        <v>317.89600000000002</v>
      </c>
      <c r="G142" s="6">
        <f>0.317896*1000</f>
        <v>317.89600000000002</v>
      </c>
      <c r="H142" s="6">
        <f t="shared" si="5"/>
        <v>198.58100000000002</v>
      </c>
      <c r="I142" s="6">
        <f>0.119315*1000</f>
        <v>119.315</v>
      </c>
      <c r="J142" s="8" t="s">
        <v>457</v>
      </c>
      <c r="K142" s="8" t="s">
        <v>457</v>
      </c>
      <c r="L142" s="8" t="s">
        <v>457</v>
      </c>
    </row>
    <row r="143" spans="2:12" ht="25.5">
      <c r="B143" s="48" t="s">
        <v>163</v>
      </c>
      <c r="C143" s="6" t="s">
        <v>203</v>
      </c>
      <c r="D143" s="6" t="s">
        <v>343</v>
      </c>
      <c r="E143" s="13">
        <v>77277.55</v>
      </c>
      <c r="F143" s="6">
        <f t="shared" si="4"/>
        <v>77.277000000000001</v>
      </c>
      <c r="G143" s="6">
        <f>0.077277*1000</f>
        <v>77.277000000000001</v>
      </c>
      <c r="H143" s="6">
        <f t="shared" si="5"/>
        <v>64.040000000000006</v>
      </c>
      <c r="I143" s="6">
        <f>0.013237*1000</f>
        <v>13.237</v>
      </c>
      <c r="J143" s="8" t="s">
        <v>457</v>
      </c>
      <c r="K143" s="8" t="s">
        <v>457</v>
      </c>
      <c r="L143" s="8" t="s">
        <v>457</v>
      </c>
    </row>
    <row r="144" spans="2:12" ht="25.5">
      <c r="B144" s="48" t="s">
        <v>164</v>
      </c>
      <c r="C144" s="6" t="s">
        <v>203</v>
      </c>
      <c r="D144" s="6" t="s">
        <v>645</v>
      </c>
      <c r="E144" s="13">
        <v>233449.92214000001</v>
      </c>
      <c r="F144" s="6">
        <f t="shared" si="4"/>
        <v>233.44899999999998</v>
      </c>
      <c r="G144" s="6">
        <f>0.233449*1000</f>
        <v>233.44899999999998</v>
      </c>
      <c r="H144" s="6">
        <f t="shared" si="5"/>
        <v>127.39799999999998</v>
      </c>
      <c r="I144" s="6">
        <f>0.106051*1000</f>
        <v>106.051</v>
      </c>
      <c r="J144" s="8" t="s">
        <v>457</v>
      </c>
      <c r="K144" s="8" t="s">
        <v>457</v>
      </c>
      <c r="L144" s="8" t="s">
        <v>457</v>
      </c>
    </row>
    <row r="145" spans="2:12" ht="25.5">
      <c r="B145" s="48" t="s">
        <v>165</v>
      </c>
      <c r="C145" s="6" t="s">
        <v>203</v>
      </c>
      <c r="D145" s="6" t="s">
        <v>347</v>
      </c>
      <c r="E145" s="13">
        <v>169806.8</v>
      </c>
      <c r="F145" s="6">
        <f t="shared" si="4"/>
        <v>169.80600000000001</v>
      </c>
      <c r="G145" s="6">
        <f>0.169806*1000</f>
        <v>169.80600000000001</v>
      </c>
      <c r="H145" s="6">
        <f t="shared" si="5"/>
        <v>85.554000000000016</v>
      </c>
      <c r="I145" s="6">
        <f>0.084252*1000</f>
        <v>84.251999999999995</v>
      </c>
      <c r="J145" s="8" t="s">
        <v>457</v>
      </c>
      <c r="K145" s="8" t="s">
        <v>457</v>
      </c>
      <c r="L145" s="8" t="s">
        <v>457</v>
      </c>
    </row>
    <row r="146" spans="2:12" ht="25.5">
      <c r="B146" s="48" t="s">
        <v>166</v>
      </c>
      <c r="C146" s="6" t="s">
        <v>203</v>
      </c>
      <c r="D146" s="6" t="s">
        <v>646</v>
      </c>
      <c r="E146" s="14">
        <v>222591.12655000002</v>
      </c>
      <c r="F146" s="6">
        <f t="shared" si="4"/>
        <v>222.59100000000001</v>
      </c>
      <c r="G146" s="6">
        <f>0.222591*1000</f>
        <v>222.59100000000001</v>
      </c>
      <c r="H146" s="6">
        <f t="shared" si="5"/>
        <v>214.83800000000002</v>
      </c>
      <c r="I146" s="6">
        <f>0.007753*1000</f>
        <v>7.7530000000000001</v>
      </c>
      <c r="J146" s="8" t="s">
        <v>457</v>
      </c>
      <c r="K146" s="8" t="s">
        <v>457</v>
      </c>
      <c r="L146" s="8" t="s">
        <v>457</v>
      </c>
    </row>
    <row r="147" spans="2:12" ht="25.5">
      <c r="B147" s="48" t="s">
        <v>167</v>
      </c>
      <c r="C147" s="6" t="s">
        <v>203</v>
      </c>
      <c r="D147" s="6" t="s">
        <v>346</v>
      </c>
      <c r="E147" s="13">
        <v>119695.64</v>
      </c>
      <c r="F147" s="6">
        <f t="shared" si="4"/>
        <v>119.69499999999999</v>
      </c>
      <c r="G147" s="6">
        <f>0.119695*1000</f>
        <v>119.69499999999999</v>
      </c>
      <c r="H147" s="6">
        <f t="shared" si="5"/>
        <v>71.548999999999992</v>
      </c>
      <c r="I147" s="6">
        <f>0.048146*1000</f>
        <v>48.146000000000001</v>
      </c>
      <c r="J147" s="8" t="s">
        <v>457</v>
      </c>
      <c r="K147" s="8" t="s">
        <v>457</v>
      </c>
      <c r="L147" s="8" t="s">
        <v>457</v>
      </c>
    </row>
    <row r="148" spans="2:12" ht="25.5">
      <c r="B148" s="48" t="s">
        <v>168</v>
      </c>
      <c r="C148" s="6" t="s">
        <v>203</v>
      </c>
      <c r="D148" s="6" t="s">
        <v>647</v>
      </c>
      <c r="E148" s="14">
        <v>194692.23218999998</v>
      </c>
      <c r="F148" s="6">
        <f t="shared" si="4"/>
        <v>194.69200000000001</v>
      </c>
      <c r="G148" s="6">
        <f>0.194692*1000</f>
        <v>194.69200000000001</v>
      </c>
      <c r="H148" s="6">
        <f t="shared" si="5"/>
        <v>122.72800000000001</v>
      </c>
      <c r="I148" s="6">
        <f>0.071964*1000</f>
        <v>71.963999999999999</v>
      </c>
      <c r="J148" s="8" t="s">
        <v>457</v>
      </c>
      <c r="K148" s="8" t="s">
        <v>457</v>
      </c>
      <c r="L148" s="8" t="s">
        <v>457</v>
      </c>
    </row>
    <row r="149" spans="2:12" ht="25.5">
      <c r="B149" s="48" t="s">
        <v>169</v>
      </c>
      <c r="C149" s="6" t="s">
        <v>203</v>
      </c>
      <c r="D149" s="6" t="s">
        <v>349</v>
      </c>
      <c r="E149" s="13">
        <v>37436.01</v>
      </c>
      <c r="F149" s="6">
        <f t="shared" si="4"/>
        <v>37.436</v>
      </c>
      <c r="G149" s="6">
        <f>0.037436*1000</f>
        <v>37.436</v>
      </c>
      <c r="H149" s="6">
        <f t="shared" si="5"/>
        <v>33.002000000000002</v>
      </c>
      <c r="I149" s="6">
        <f>0.004434*1000</f>
        <v>4.4339999999999993</v>
      </c>
      <c r="J149" s="8" t="s">
        <v>457</v>
      </c>
      <c r="K149" s="8" t="s">
        <v>457</v>
      </c>
      <c r="L149" s="8" t="s">
        <v>457</v>
      </c>
    </row>
    <row r="150" spans="2:12" ht="25.5">
      <c r="B150" s="48" t="s">
        <v>170</v>
      </c>
      <c r="C150" s="6" t="s">
        <v>203</v>
      </c>
      <c r="D150" s="6" t="s">
        <v>648</v>
      </c>
      <c r="E150" s="13">
        <v>189737.78602999999</v>
      </c>
      <c r="F150" s="6">
        <f t="shared" si="4"/>
        <v>189.73699999999999</v>
      </c>
      <c r="G150" s="6">
        <f>0.189737*1000</f>
        <v>189.73699999999999</v>
      </c>
      <c r="H150" s="6">
        <f t="shared" si="5"/>
        <v>112.70399999999999</v>
      </c>
      <c r="I150" s="6">
        <f>0.077033*1000</f>
        <v>77.033000000000001</v>
      </c>
      <c r="J150" s="8" t="s">
        <v>457</v>
      </c>
      <c r="K150" s="8" t="s">
        <v>457</v>
      </c>
      <c r="L150" s="8" t="s">
        <v>457</v>
      </c>
    </row>
    <row r="151" spans="2:12" ht="25.5">
      <c r="B151" s="48" t="s">
        <v>171</v>
      </c>
      <c r="C151" s="6" t="s">
        <v>203</v>
      </c>
      <c r="D151" s="6" t="s">
        <v>350</v>
      </c>
      <c r="E151" s="13">
        <v>44412.23</v>
      </c>
      <c r="F151" s="6">
        <f t="shared" si="4"/>
        <v>44.411999999999999</v>
      </c>
      <c r="G151" s="6">
        <f>0.044412*1000</f>
        <v>44.411999999999999</v>
      </c>
      <c r="H151" s="6">
        <f t="shared" si="5"/>
        <v>39.176000000000002</v>
      </c>
      <c r="I151" s="6">
        <f>0.005236*1000</f>
        <v>5.2359999999999998</v>
      </c>
      <c r="J151" s="8" t="s">
        <v>457</v>
      </c>
      <c r="K151" s="8" t="s">
        <v>457</v>
      </c>
      <c r="L151" s="8" t="s">
        <v>457</v>
      </c>
    </row>
    <row r="152" spans="2:12" ht="25.5">
      <c r="B152" s="48" t="s">
        <v>172</v>
      </c>
      <c r="C152" s="6" t="s">
        <v>203</v>
      </c>
      <c r="D152" s="6" t="s">
        <v>649</v>
      </c>
      <c r="E152" s="13">
        <v>253050.24499000001</v>
      </c>
      <c r="F152" s="6">
        <f t="shared" si="4"/>
        <v>253.05</v>
      </c>
      <c r="G152" s="6">
        <f>0.25305*1000</f>
        <v>253.05</v>
      </c>
      <c r="H152" s="6">
        <f t="shared" si="5"/>
        <v>147.20699999999999</v>
      </c>
      <c r="I152" s="6">
        <f>0.105843*1000</f>
        <v>105.843</v>
      </c>
      <c r="J152" s="8" t="s">
        <v>457</v>
      </c>
      <c r="K152" s="8" t="s">
        <v>457</v>
      </c>
      <c r="L152" s="8" t="s">
        <v>457</v>
      </c>
    </row>
    <row r="153" spans="2:12" ht="25.5">
      <c r="B153" s="48" t="s">
        <v>173</v>
      </c>
      <c r="C153" s="6" t="s">
        <v>203</v>
      </c>
      <c r="D153" s="6" t="s">
        <v>351</v>
      </c>
      <c r="E153" s="13">
        <v>51068.92</v>
      </c>
      <c r="F153" s="6">
        <f t="shared" si="4"/>
        <v>51.068000000000005</v>
      </c>
      <c r="G153" s="6">
        <f>0.051068*1000</f>
        <v>51.068000000000005</v>
      </c>
      <c r="H153" s="6">
        <f t="shared" si="5"/>
        <v>44.685000000000002</v>
      </c>
      <c r="I153" s="6">
        <f xml:space="preserve"> 0.006383*1000</f>
        <v>6.383</v>
      </c>
      <c r="J153" s="8" t="s">
        <v>457</v>
      </c>
      <c r="K153" s="8" t="s">
        <v>457</v>
      </c>
      <c r="L153" s="8" t="s">
        <v>457</v>
      </c>
    </row>
    <row r="154" spans="2:12" ht="25.5">
      <c r="B154" s="48" t="s">
        <v>174</v>
      </c>
      <c r="C154" s="6" t="s">
        <v>203</v>
      </c>
      <c r="D154" s="6" t="s">
        <v>650</v>
      </c>
      <c r="E154" s="13">
        <v>249217.26117999997</v>
      </c>
      <c r="F154" s="6">
        <f t="shared" si="4"/>
        <v>249.21699999999998</v>
      </c>
      <c r="G154" s="6">
        <f>0.249217*1000</f>
        <v>249.21699999999998</v>
      </c>
      <c r="H154" s="6">
        <f t="shared" si="5"/>
        <v>126.66499999999999</v>
      </c>
      <c r="I154" s="6">
        <f>0.122552*1000</f>
        <v>122.55199999999999</v>
      </c>
      <c r="J154" s="8" t="s">
        <v>457</v>
      </c>
      <c r="K154" s="8" t="s">
        <v>457</v>
      </c>
      <c r="L154" s="8" t="s">
        <v>457</v>
      </c>
    </row>
    <row r="155" spans="2:12" ht="38.25">
      <c r="B155" s="48" t="s">
        <v>175</v>
      </c>
      <c r="C155" s="6" t="s">
        <v>203</v>
      </c>
      <c r="D155" s="6" t="s">
        <v>294</v>
      </c>
      <c r="E155" s="13">
        <v>157566.74</v>
      </c>
      <c r="F155" s="6">
        <f t="shared" si="4"/>
        <v>157.566</v>
      </c>
      <c r="G155" s="6">
        <f>0.157566*1000</f>
        <v>157.566</v>
      </c>
      <c r="H155" s="6">
        <f>G155-I155</f>
        <v>116.65019000000001</v>
      </c>
      <c r="I155" s="6">
        <f>0.04091581*1000</f>
        <v>40.915809999999993</v>
      </c>
      <c r="J155" s="8" t="s">
        <v>457</v>
      </c>
      <c r="K155" s="8" t="s">
        <v>457</v>
      </c>
      <c r="L155" s="8" t="s">
        <v>457</v>
      </c>
    </row>
    <row r="156" spans="2:12" ht="25.5">
      <c r="B156" s="48" t="s">
        <v>176</v>
      </c>
      <c r="C156" s="6" t="s">
        <v>203</v>
      </c>
      <c r="D156" s="6" t="s">
        <v>352</v>
      </c>
      <c r="E156" s="13">
        <v>60121.93</v>
      </c>
      <c r="F156" s="6">
        <f t="shared" si="4"/>
        <v>60.121000000000002</v>
      </c>
      <c r="G156" s="6">
        <f>0.060121*1000</f>
        <v>60.121000000000002</v>
      </c>
      <c r="H156" s="6">
        <f t="shared" si="5"/>
        <v>52.591000000000001</v>
      </c>
      <c r="I156" s="6">
        <f>0.00753*1000</f>
        <v>7.53</v>
      </c>
      <c r="J156" s="8" t="s">
        <v>457</v>
      </c>
      <c r="K156" s="8" t="s">
        <v>457</v>
      </c>
      <c r="L156" s="8" t="s">
        <v>457</v>
      </c>
    </row>
    <row r="157" spans="2:12" ht="25.5">
      <c r="B157" s="48" t="s">
        <v>177</v>
      </c>
      <c r="C157" s="6" t="s">
        <v>203</v>
      </c>
      <c r="D157" s="6" t="s">
        <v>651</v>
      </c>
      <c r="E157" s="13">
        <v>246234.40604</v>
      </c>
      <c r="F157" s="6">
        <f t="shared" si="4"/>
        <v>246.23400000000001</v>
      </c>
      <c r="G157" s="6">
        <f>0.246234*1000</f>
        <v>246.23400000000001</v>
      </c>
      <c r="H157" s="6">
        <f t="shared" si="5"/>
        <v>132.52800000000002</v>
      </c>
      <c r="I157" s="6">
        <f>0.113706*1000</f>
        <v>113.706</v>
      </c>
      <c r="J157" s="8" t="s">
        <v>457</v>
      </c>
      <c r="K157" s="8" t="s">
        <v>457</v>
      </c>
      <c r="L157" s="8" t="s">
        <v>457</v>
      </c>
    </row>
    <row r="158" spans="2:12" ht="25.5">
      <c r="B158" s="48" t="s">
        <v>178</v>
      </c>
      <c r="C158" s="6" t="s">
        <v>203</v>
      </c>
      <c r="D158" s="6" t="s">
        <v>652</v>
      </c>
      <c r="E158" s="15">
        <v>243869.08463999999</v>
      </c>
      <c r="F158" s="6">
        <f t="shared" si="4"/>
        <v>243.869</v>
      </c>
      <c r="G158" s="6">
        <f>0.243869*1000</f>
        <v>243.869</v>
      </c>
      <c r="H158" s="6">
        <f t="shared" si="5"/>
        <v>134.29300000000001</v>
      </c>
      <c r="I158" s="6">
        <f>0.109576*1000</f>
        <v>109.57600000000001</v>
      </c>
      <c r="J158" s="8" t="s">
        <v>457</v>
      </c>
      <c r="K158" s="8" t="s">
        <v>457</v>
      </c>
      <c r="L158" s="8" t="s">
        <v>457</v>
      </c>
    </row>
    <row r="159" spans="2:12" ht="38.25">
      <c r="B159" s="48" t="s">
        <v>179</v>
      </c>
      <c r="C159" s="6" t="s">
        <v>203</v>
      </c>
      <c r="D159" s="6" t="s">
        <v>294</v>
      </c>
      <c r="E159" s="15">
        <v>148733.94</v>
      </c>
      <c r="F159" s="6">
        <f>G159</f>
        <v>148.733</v>
      </c>
      <c r="G159" s="6">
        <f>0.148733*1000</f>
        <v>148.733</v>
      </c>
      <c r="H159" s="6">
        <f>G159-I159</f>
        <v>107.81800000000001</v>
      </c>
      <c r="I159" s="6">
        <f>0.040915*1000</f>
        <v>40.914999999999999</v>
      </c>
      <c r="J159" s="8" t="s">
        <v>457</v>
      </c>
      <c r="K159" s="8" t="s">
        <v>457</v>
      </c>
      <c r="L159" s="8" t="s">
        <v>457</v>
      </c>
    </row>
    <row r="160" spans="2:12" ht="38.25">
      <c r="B160" s="48" t="s">
        <v>180</v>
      </c>
      <c r="C160" s="6" t="s">
        <v>203</v>
      </c>
      <c r="D160" s="6" t="s">
        <v>294</v>
      </c>
      <c r="E160" s="15">
        <v>179794.71</v>
      </c>
      <c r="F160" s="6">
        <f t="shared" ref="F160:F223" si="6">G160</f>
        <v>179.79400000000001</v>
      </c>
      <c r="G160" s="6">
        <f>0.179794*1000</f>
        <v>179.79400000000001</v>
      </c>
      <c r="H160" s="6">
        <f t="shared" ref="H160:H223" si="7">G160-I160</f>
        <v>125.48400000000001</v>
      </c>
      <c r="I160" s="6">
        <f>0.05431*1000</f>
        <v>54.309999999999995</v>
      </c>
      <c r="J160" s="8" t="s">
        <v>457</v>
      </c>
      <c r="K160" s="8" t="s">
        <v>457</v>
      </c>
      <c r="L160" s="8" t="s">
        <v>457</v>
      </c>
    </row>
    <row r="161" spans="2:12" ht="25.5">
      <c r="B161" s="48" t="s">
        <v>181</v>
      </c>
      <c r="C161" s="6" t="s">
        <v>203</v>
      </c>
      <c r="D161" s="6" t="s">
        <v>353</v>
      </c>
      <c r="E161" s="15">
        <v>39084.720000000001</v>
      </c>
      <c r="F161" s="6">
        <f t="shared" si="6"/>
        <v>39.084000000000003</v>
      </c>
      <c r="G161" s="6">
        <f>0.039084*1000</f>
        <v>39.084000000000003</v>
      </c>
      <c r="H161" s="6">
        <f t="shared" si="7"/>
        <v>38.582700000000003</v>
      </c>
      <c r="I161" s="6">
        <f>0.0005013*1000</f>
        <v>0.50129999999999997</v>
      </c>
      <c r="J161" s="8" t="s">
        <v>457</v>
      </c>
      <c r="K161" s="8" t="s">
        <v>457</v>
      </c>
      <c r="L161" s="8" t="s">
        <v>457</v>
      </c>
    </row>
    <row r="162" spans="2:12" ht="38.25">
      <c r="B162" s="48" t="s">
        <v>182</v>
      </c>
      <c r="C162" s="6" t="s">
        <v>203</v>
      </c>
      <c r="D162" s="6" t="s">
        <v>294</v>
      </c>
      <c r="E162" s="15">
        <v>179794.71</v>
      </c>
      <c r="F162" s="6">
        <f t="shared" si="6"/>
        <v>179.79400000000001</v>
      </c>
      <c r="G162" s="6">
        <f>0.179794*1000</f>
        <v>179.79400000000001</v>
      </c>
      <c r="H162" s="6">
        <f t="shared" si="7"/>
        <v>125.48400000000001</v>
      </c>
      <c r="I162" s="6">
        <f>0.05431*1000</f>
        <v>54.309999999999995</v>
      </c>
      <c r="J162" s="8" t="s">
        <v>457</v>
      </c>
      <c r="K162" s="8" t="s">
        <v>457</v>
      </c>
      <c r="L162" s="8" t="s">
        <v>457</v>
      </c>
    </row>
    <row r="163" spans="2:12" ht="38.25">
      <c r="B163" s="48" t="s">
        <v>183</v>
      </c>
      <c r="C163" s="6" t="s">
        <v>203</v>
      </c>
      <c r="D163" s="6" t="s">
        <v>294</v>
      </c>
      <c r="E163" s="15">
        <v>157566.74</v>
      </c>
      <c r="F163" s="6">
        <f t="shared" si="6"/>
        <v>157.566</v>
      </c>
      <c r="G163" s="6">
        <f>0.157566*1000</f>
        <v>157.566</v>
      </c>
      <c r="H163" s="6">
        <f t="shared" si="7"/>
        <v>116.65100000000001</v>
      </c>
      <c r="I163" s="6">
        <f>0.040915*1000</f>
        <v>40.914999999999999</v>
      </c>
      <c r="J163" s="8" t="s">
        <v>457</v>
      </c>
      <c r="K163" s="8" t="s">
        <v>457</v>
      </c>
      <c r="L163" s="8" t="s">
        <v>457</v>
      </c>
    </row>
    <row r="164" spans="2:12" ht="25.5">
      <c r="B164" s="48" t="s">
        <v>184</v>
      </c>
      <c r="C164" s="6" t="s">
        <v>203</v>
      </c>
      <c r="D164" s="6" t="s">
        <v>653</v>
      </c>
      <c r="E164" s="13">
        <v>299942.21789999999</v>
      </c>
      <c r="F164" s="6">
        <f t="shared" si="6"/>
        <v>299.94200000000001</v>
      </c>
      <c r="G164" s="6">
        <f>0.299942*1000</f>
        <v>299.94200000000001</v>
      </c>
      <c r="H164" s="6">
        <f t="shared" si="7"/>
        <v>163.62400000000002</v>
      </c>
      <c r="I164" s="6">
        <f>0.136318*1000</f>
        <v>136.31799999999998</v>
      </c>
      <c r="J164" s="8" t="s">
        <v>457</v>
      </c>
      <c r="K164" s="8" t="s">
        <v>457</v>
      </c>
      <c r="L164" s="8" t="s">
        <v>457</v>
      </c>
    </row>
    <row r="165" spans="2:12" ht="25.5">
      <c r="B165" s="48" t="s">
        <v>185</v>
      </c>
      <c r="C165" s="6" t="s">
        <v>203</v>
      </c>
      <c r="D165" s="6" t="s">
        <v>654</v>
      </c>
      <c r="E165" s="13">
        <v>206441.77492000003</v>
      </c>
      <c r="F165" s="6">
        <f t="shared" si="6"/>
        <v>206.441</v>
      </c>
      <c r="G165" s="6">
        <f>0.206441*1000</f>
        <v>206.441</v>
      </c>
      <c r="H165" s="6">
        <f t="shared" si="7"/>
        <v>107.428</v>
      </c>
      <c r="I165" s="6">
        <f>0.099013*1000</f>
        <v>99.013000000000005</v>
      </c>
      <c r="J165" s="8" t="s">
        <v>457</v>
      </c>
      <c r="K165" s="8" t="s">
        <v>457</v>
      </c>
      <c r="L165" s="8" t="s">
        <v>457</v>
      </c>
    </row>
    <row r="166" spans="2:12" ht="25.5">
      <c r="B166" s="48" t="s">
        <v>186</v>
      </c>
      <c r="C166" s="6" t="s">
        <v>203</v>
      </c>
      <c r="D166" s="6" t="s">
        <v>655</v>
      </c>
      <c r="E166" s="13">
        <v>228837.70724000002</v>
      </c>
      <c r="F166" s="6">
        <f t="shared" si="6"/>
        <v>228.83700000000002</v>
      </c>
      <c r="G166" s="6">
        <f>0.228837*1000</f>
        <v>228.83700000000002</v>
      </c>
      <c r="H166" s="6">
        <f t="shared" si="7"/>
        <v>145.09800000000001</v>
      </c>
      <c r="I166" s="6">
        <f>0.083739*1000</f>
        <v>83.73899999999999</v>
      </c>
      <c r="J166" s="8" t="s">
        <v>457</v>
      </c>
      <c r="K166" s="8" t="s">
        <v>457</v>
      </c>
      <c r="L166" s="8" t="s">
        <v>457</v>
      </c>
    </row>
    <row r="167" spans="2:12" ht="25.5">
      <c r="B167" s="48" t="s">
        <v>187</v>
      </c>
      <c r="C167" s="6" t="s">
        <v>203</v>
      </c>
      <c r="D167" s="6" t="s">
        <v>656</v>
      </c>
      <c r="E167" s="13">
        <v>214695.49639999997</v>
      </c>
      <c r="F167" s="6">
        <f t="shared" si="6"/>
        <v>214.69499999999999</v>
      </c>
      <c r="G167" s="6">
        <f>0.214695*1000</f>
        <v>214.69499999999999</v>
      </c>
      <c r="H167" s="6">
        <f t="shared" si="7"/>
        <v>113.26899999999999</v>
      </c>
      <c r="I167" s="6">
        <f>0.101426*1000</f>
        <v>101.426</v>
      </c>
      <c r="J167" s="8" t="s">
        <v>457</v>
      </c>
      <c r="K167" s="8" t="s">
        <v>457</v>
      </c>
      <c r="L167" s="8" t="s">
        <v>457</v>
      </c>
    </row>
    <row r="168" spans="2:12" ht="25.5">
      <c r="B168" s="48" t="s">
        <v>188</v>
      </c>
      <c r="C168" s="6" t="s">
        <v>203</v>
      </c>
      <c r="D168" s="6" t="s">
        <v>657</v>
      </c>
      <c r="E168" s="13">
        <v>276924.58639999997</v>
      </c>
      <c r="F168" s="6">
        <f t="shared" si="6"/>
        <v>276.90199999999999</v>
      </c>
      <c r="G168" s="6">
        <f>0.276902*1000</f>
        <v>276.90199999999999</v>
      </c>
      <c r="H168" s="6">
        <f t="shared" si="7"/>
        <v>133.65199999999999</v>
      </c>
      <c r="I168" s="6">
        <f>0.14325*1000</f>
        <v>143.25</v>
      </c>
      <c r="J168" s="8" t="s">
        <v>457</v>
      </c>
      <c r="K168" s="8" t="s">
        <v>457</v>
      </c>
      <c r="L168" s="8" t="s">
        <v>457</v>
      </c>
    </row>
    <row r="169" spans="2:12" ht="25.5">
      <c r="B169" s="48" t="s">
        <v>189</v>
      </c>
      <c r="C169" s="6" t="s">
        <v>203</v>
      </c>
      <c r="D169" s="6" t="s">
        <v>658</v>
      </c>
      <c r="E169" s="13">
        <v>232974.3536</v>
      </c>
      <c r="F169" s="6">
        <f t="shared" si="6"/>
        <v>232.95099999999999</v>
      </c>
      <c r="G169" s="6">
        <f>0.232951*1000</f>
        <v>232.95099999999999</v>
      </c>
      <c r="H169" s="6">
        <f t="shared" si="7"/>
        <v>122.32899999999999</v>
      </c>
      <c r="I169" s="6">
        <f>0.110622*1000</f>
        <v>110.622</v>
      </c>
      <c r="J169" s="8" t="s">
        <v>457</v>
      </c>
      <c r="K169" s="8" t="s">
        <v>457</v>
      </c>
      <c r="L169" s="8" t="s">
        <v>457</v>
      </c>
    </row>
    <row r="170" spans="2:12" ht="25.5">
      <c r="B170" s="48" t="s">
        <v>190</v>
      </c>
      <c r="C170" s="6" t="s">
        <v>203</v>
      </c>
      <c r="D170" s="6" t="s">
        <v>659</v>
      </c>
      <c r="E170" s="13">
        <v>245007.46035000001</v>
      </c>
      <c r="F170" s="6">
        <f t="shared" si="6"/>
        <v>245.00700000000001</v>
      </c>
      <c r="G170" s="6">
        <f>0.245007*1000</f>
        <v>245.00700000000001</v>
      </c>
      <c r="H170" s="6">
        <f t="shared" si="7"/>
        <v>132.03199999999998</v>
      </c>
      <c r="I170" s="6">
        <f>0.112975*1000</f>
        <v>112.97500000000001</v>
      </c>
      <c r="J170" s="8" t="s">
        <v>457</v>
      </c>
      <c r="K170" s="8" t="s">
        <v>457</v>
      </c>
      <c r="L170" s="8" t="s">
        <v>457</v>
      </c>
    </row>
    <row r="171" spans="2:12" ht="38.25">
      <c r="B171" s="48" t="s">
        <v>191</v>
      </c>
      <c r="C171" s="6" t="s">
        <v>203</v>
      </c>
      <c r="D171" s="6" t="s">
        <v>354</v>
      </c>
      <c r="E171" s="13">
        <v>136262.64000000001</v>
      </c>
      <c r="F171" s="6">
        <f t="shared" si="6"/>
        <v>136.262</v>
      </c>
      <c r="G171" s="6">
        <f>0.136262*1000</f>
        <v>136.262</v>
      </c>
      <c r="H171" s="6">
        <f t="shared" si="7"/>
        <v>107.818</v>
      </c>
      <c r="I171" s="6">
        <f>0.028444*1000</f>
        <v>28.443999999999999</v>
      </c>
      <c r="J171" s="8" t="s">
        <v>457</v>
      </c>
      <c r="K171" s="8" t="s">
        <v>457</v>
      </c>
      <c r="L171" s="8" t="s">
        <v>457</v>
      </c>
    </row>
    <row r="172" spans="2:12" ht="25.5">
      <c r="B172" s="48" t="s">
        <v>192</v>
      </c>
      <c r="C172" s="6" t="s">
        <v>203</v>
      </c>
      <c r="D172" s="6" t="s">
        <v>660</v>
      </c>
      <c r="E172" s="13">
        <v>264232.2795</v>
      </c>
      <c r="F172" s="6">
        <f t="shared" si="6"/>
        <v>264.23200000000003</v>
      </c>
      <c r="G172" s="6">
        <f>0.264232*1000</f>
        <v>264.23200000000003</v>
      </c>
      <c r="H172" s="6">
        <f t="shared" si="7"/>
        <v>143.64300000000003</v>
      </c>
      <c r="I172" s="6">
        <f>0.120589*1000</f>
        <v>120.589</v>
      </c>
      <c r="J172" s="8" t="s">
        <v>457</v>
      </c>
      <c r="K172" s="8" t="s">
        <v>457</v>
      </c>
      <c r="L172" s="8" t="s">
        <v>457</v>
      </c>
    </row>
    <row r="173" spans="2:12" ht="38.25">
      <c r="B173" s="48" t="s">
        <v>193</v>
      </c>
      <c r="C173" s="6" t="s">
        <v>203</v>
      </c>
      <c r="D173" s="6" t="s">
        <v>294</v>
      </c>
      <c r="E173" s="13">
        <v>179794.71</v>
      </c>
      <c r="F173" s="6">
        <f t="shared" si="6"/>
        <v>179.79400000000001</v>
      </c>
      <c r="G173" s="6">
        <f>0.179794*1000</f>
        <v>179.79400000000001</v>
      </c>
      <c r="H173" s="6">
        <f t="shared" si="7"/>
        <v>125.48400000000001</v>
      </c>
      <c r="I173" s="6">
        <f>0.05431*1000</f>
        <v>54.309999999999995</v>
      </c>
      <c r="J173" s="8" t="s">
        <v>457</v>
      </c>
      <c r="K173" s="8" t="s">
        <v>457</v>
      </c>
      <c r="L173" s="8" t="s">
        <v>457</v>
      </c>
    </row>
    <row r="174" spans="2:12" ht="38.25">
      <c r="B174" s="48" t="s">
        <v>194</v>
      </c>
      <c r="C174" s="6" t="s">
        <v>203</v>
      </c>
      <c r="D174" s="6" t="s">
        <v>294</v>
      </c>
      <c r="E174" s="13">
        <v>179794.71</v>
      </c>
      <c r="F174" s="6">
        <f t="shared" si="6"/>
        <v>179.79400000000001</v>
      </c>
      <c r="G174" s="6">
        <f>0.179794*1000</f>
        <v>179.79400000000001</v>
      </c>
      <c r="H174" s="6">
        <f t="shared" si="7"/>
        <v>125.48400000000001</v>
      </c>
      <c r="I174" s="6">
        <f>0.05431*1000</f>
        <v>54.309999999999995</v>
      </c>
      <c r="J174" s="8" t="s">
        <v>457</v>
      </c>
      <c r="K174" s="8" t="s">
        <v>457</v>
      </c>
      <c r="L174" s="8" t="s">
        <v>457</v>
      </c>
    </row>
    <row r="175" spans="2:12" ht="25.5">
      <c r="B175" s="48" t="s">
        <v>195</v>
      </c>
      <c r="C175" s="6" t="s">
        <v>203</v>
      </c>
      <c r="D175" s="6" t="s">
        <v>661</v>
      </c>
      <c r="E175" s="13">
        <v>265936.38757999998</v>
      </c>
      <c r="F175" s="6">
        <f t="shared" si="6"/>
        <v>265.93599999999998</v>
      </c>
      <c r="G175" s="6">
        <f>0.265936*1000</f>
        <v>265.93599999999998</v>
      </c>
      <c r="H175" s="6">
        <f t="shared" si="7"/>
        <v>144.30599999999998</v>
      </c>
      <c r="I175" s="6">
        <f>0.12163*1000</f>
        <v>121.63</v>
      </c>
      <c r="J175" s="8" t="s">
        <v>457</v>
      </c>
      <c r="K175" s="8" t="s">
        <v>457</v>
      </c>
      <c r="L175" s="8" t="s">
        <v>457</v>
      </c>
    </row>
    <row r="176" spans="2:12" ht="25.5">
      <c r="B176" s="48" t="s">
        <v>196</v>
      </c>
      <c r="C176" s="6" t="s">
        <v>203</v>
      </c>
      <c r="D176" s="6" t="s">
        <v>662</v>
      </c>
      <c r="E176" s="13">
        <v>249046.71979999999</v>
      </c>
      <c r="F176" s="6">
        <f t="shared" si="6"/>
        <v>249.04599999999999</v>
      </c>
      <c r="G176" s="6">
        <f>0.249046*1000</f>
        <v>249.04599999999999</v>
      </c>
      <c r="H176" s="6">
        <f t="shared" si="7"/>
        <v>125.38500000000001</v>
      </c>
      <c r="I176" s="6">
        <f>0.123661*1000</f>
        <v>123.66099999999999</v>
      </c>
      <c r="J176" s="8" t="s">
        <v>457</v>
      </c>
      <c r="K176" s="8" t="s">
        <v>457</v>
      </c>
      <c r="L176" s="8" t="s">
        <v>457</v>
      </c>
    </row>
    <row r="177" spans="2:12" ht="25.5">
      <c r="B177" s="48" t="s">
        <v>197</v>
      </c>
      <c r="C177" s="6" t="s">
        <v>203</v>
      </c>
      <c r="D177" s="6" t="s">
        <v>663</v>
      </c>
      <c r="E177" s="13">
        <v>248789.84404999999</v>
      </c>
      <c r="F177" s="6">
        <f t="shared" si="6"/>
        <v>248.78900000000002</v>
      </c>
      <c r="G177" s="6">
        <f>0.248789*1000</f>
        <v>248.78900000000002</v>
      </c>
      <c r="H177" s="6">
        <f t="shared" si="7"/>
        <v>125.14800000000001</v>
      </c>
      <c r="I177" s="6">
        <f>0.123641*1000</f>
        <v>123.64100000000001</v>
      </c>
      <c r="J177" s="8" t="s">
        <v>457</v>
      </c>
      <c r="K177" s="8" t="s">
        <v>457</v>
      </c>
      <c r="L177" s="8" t="s">
        <v>457</v>
      </c>
    </row>
    <row r="178" spans="2:12" ht="25.5">
      <c r="B178" s="48" t="s">
        <v>198</v>
      </c>
      <c r="C178" s="6" t="s">
        <v>203</v>
      </c>
      <c r="D178" s="6" t="s">
        <v>664</v>
      </c>
      <c r="E178" s="13">
        <v>244937.10835999998</v>
      </c>
      <c r="F178" s="6">
        <f>G178</f>
        <v>244.93699999999998</v>
      </c>
      <c r="G178" s="6">
        <f>0.244937*1000</f>
        <v>244.93699999999998</v>
      </c>
      <c r="H178" s="6">
        <f>G178-I178</f>
        <v>121.30399999999997</v>
      </c>
      <c r="I178" s="6">
        <f>0.123633*1000</f>
        <v>123.63300000000001</v>
      </c>
      <c r="J178" s="8" t="s">
        <v>457</v>
      </c>
      <c r="K178" s="8" t="s">
        <v>457</v>
      </c>
      <c r="L178" s="8" t="s">
        <v>457</v>
      </c>
    </row>
    <row r="179" spans="2:12">
      <c r="B179" s="48" t="s">
        <v>199</v>
      </c>
      <c r="C179" s="6" t="s">
        <v>203</v>
      </c>
      <c r="D179" s="6" t="s">
        <v>355</v>
      </c>
      <c r="E179" s="15">
        <v>75866.02</v>
      </c>
      <c r="F179" s="6">
        <f>G179</f>
        <v>75.866</v>
      </c>
      <c r="G179" s="6">
        <f>0.075866*1000</f>
        <v>75.866</v>
      </c>
      <c r="H179" s="6">
        <f>G179-I179</f>
        <v>75.679999999999993</v>
      </c>
      <c r="I179" s="6">
        <f>0.000186*1000</f>
        <v>0.186</v>
      </c>
      <c r="J179" s="8" t="s">
        <v>457</v>
      </c>
      <c r="K179" s="8" t="s">
        <v>457</v>
      </c>
      <c r="L179" s="8" t="s">
        <v>457</v>
      </c>
    </row>
    <row r="180" spans="2:12" ht="38.25">
      <c r="B180" s="48" t="s">
        <v>200</v>
      </c>
      <c r="C180" s="6" t="s">
        <v>203</v>
      </c>
      <c r="D180" s="6" t="s">
        <v>294</v>
      </c>
      <c r="E180" s="15">
        <v>179794.71</v>
      </c>
      <c r="F180" s="6">
        <f t="shared" si="6"/>
        <v>179.79400000000001</v>
      </c>
      <c r="G180" s="6">
        <f>0.179794*1000</f>
        <v>179.79400000000001</v>
      </c>
      <c r="H180" s="6">
        <f t="shared" si="7"/>
        <v>125.48400000000001</v>
      </c>
      <c r="I180" s="6">
        <f>0.05431*1000</f>
        <v>54.309999999999995</v>
      </c>
      <c r="J180" s="8" t="s">
        <v>457</v>
      </c>
      <c r="K180" s="8" t="s">
        <v>457</v>
      </c>
      <c r="L180" s="8" t="s">
        <v>457</v>
      </c>
    </row>
    <row r="181" spans="2:12" ht="38.25">
      <c r="B181" s="48" t="s">
        <v>201</v>
      </c>
      <c r="C181" s="6" t="s">
        <v>203</v>
      </c>
      <c r="D181" s="6" t="s">
        <v>294</v>
      </c>
      <c r="E181" s="15">
        <v>115726.96840000001</v>
      </c>
      <c r="F181" s="6">
        <f t="shared" si="6"/>
        <v>115.726</v>
      </c>
      <c r="G181" s="6">
        <f>0.115726*1000</f>
        <v>115.726</v>
      </c>
      <c r="H181" s="6">
        <f t="shared" si="7"/>
        <v>84.820999999999998</v>
      </c>
      <c r="I181" s="6">
        <f>0.030905*1000</f>
        <v>30.904999999999998</v>
      </c>
      <c r="J181" s="8" t="s">
        <v>457</v>
      </c>
      <c r="K181" s="8" t="s">
        <v>457</v>
      </c>
      <c r="L181" s="8" t="s">
        <v>457</v>
      </c>
    </row>
    <row r="182" spans="2:12" ht="25.5">
      <c r="B182" s="48" t="s">
        <v>202</v>
      </c>
      <c r="C182" s="6" t="s">
        <v>203</v>
      </c>
      <c r="D182" s="6" t="s">
        <v>294</v>
      </c>
      <c r="E182" s="15">
        <v>234626.58963999999</v>
      </c>
      <c r="F182" s="6">
        <f t="shared" si="6"/>
        <v>234.626</v>
      </c>
      <c r="G182" s="6">
        <f>0.234626*1000</f>
        <v>234.626</v>
      </c>
      <c r="H182" s="6">
        <f t="shared" si="7"/>
        <v>155.41800000000001</v>
      </c>
      <c r="I182" s="16">
        <f>0.079208*1000</f>
        <v>79.207999999999998</v>
      </c>
      <c r="J182" s="8" t="s">
        <v>457</v>
      </c>
      <c r="K182" s="8" t="s">
        <v>457</v>
      </c>
      <c r="L182" s="8" t="s">
        <v>457</v>
      </c>
    </row>
    <row r="183" spans="2:12" ht="38.25">
      <c r="B183" s="48" t="s">
        <v>204</v>
      </c>
      <c r="C183" s="6" t="s">
        <v>203</v>
      </c>
      <c r="D183" s="6" t="s">
        <v>294</v>
      </c>
      <c r="E183" s="15">
        <v>6987642.4000000004</v>
      </c>
      <c r="F183" s="6">
        <f t="shared" si="6"/>
        <v>6913.3279999999995</v>
      </c>
      <c r="G183" s="33">
        <f>(0.962984+3.013943+2.936401)*1000</f>
        <v>6913.3279999999995</v>
      </c>
      <c r="H183" s="6">
        <f t="shared" si="7"/>
        <v>4072.2529999999997</v>
      </c>
      <c r="I183" s="17">
        <f>2.841075*1000</f>
        <v>2841.0749999999998</v>
      </c>
      <c r="J183" s="8" t="s">
        <v>457</v>
      </c>
      <c r="K183" s="8" t="s">
        <v>457</v>
      </c>
      <c r="L183" s="8" t="s">
        <v>457</v>
      </c>
    </row>
    <row r="184" spans="2:12" ht="63.75">
      <c r="B184" s="48" t="s">
        <v>205</v>
      </c>
      <c r="C184" s="6" t="s">
        <v>203</v>
      </c>
      <c r="D184" s="6" t="s">
        <v>665</v>
      </c>
      <c r="E184" s="14">
        <v>1430046.53</v>
      </c>
      <c r="F184" s="6">
        <f t="shared" si="6"/>
        <v>1430.0459999999998</v>
      </c>
      <c r="G184" s="6">
        <f>1.430046*1000</f>
        <v>1430.0459999999998</v>
      </c>
      <c r="H184" s="6">
        <f t="shared" si="7"/>
        <v>847.41199999999981</v>
      </c>
      <c r="I184" s="6">
        <f>0.582634*1000</f>
        <v>582.63400000000001</v>
      </c>
      <c r="J184" s="8" t="s">
        <v>457</v>
      </c>
      <c r="K184" s="8" t="s">
        <v>457</v>
      </c>
      <c r="L184" s="8" t="s">
        <v>457</v>
      </c>
    </row>
    <row r="185" spans="2:12" ht="25.5">
      <c r="B185" s="48" t="s">
        <v>207</v>
      </c>
      <c r="C185" s="6" t="s">
        <v>203</v>
      </c>
      <c r="D185" s="6" t="s">
        <v>294</v>
      </c>
      <c r="E185" s="14">
        <v>131446.92227000001</v>
      </c>
      <c r="F185" s="6">
        <f t="shared" si="6"/>
        <v>131.41499999999999</v>
      </c>
      <c r="G185" s="6">
        <f>0.131415*1000</f>
        <v>131.41499999999999</v>
      </c>
      <c r="H185" s="6">
        <f t="shared" si="7"/>
        <v>110.81299999999999</v>
      </c>
      <c r="I185" s="6">
        <f>0.020602*1000</f>
        <v>20.602</v>
      </c>
      <c r="J185" s="8" t="s">
        <v>457</v>
      </c>
      <c r="K185" s="8" t="s">
        <v>457</v>
      </c>
      <c r="L185" s="8" t="s">
        <v>457</v>
      </c>
    </row>
    <row r="186" spans="2:12" ht="25.5">
      <c r="B186" s="48" t="s">
        <v>208</v>
      </c>
      <c r="C186" s="6" t="s">
        <v>203</v>
      </c>
      <c r="D186" s="6" t="s">
        <v>294</v>
      </c>
      <c r="E186" s="14">
        <v>265015.81348000001</v>
      </c>
      <c r="F186" s="6">
        <f t="shared" si="6"/>
        <v>265.01499999999999</v>
      </c>
      <c r="G186" s="6">
        <f>0.265015*1000</f>
        <v>265.01499999999999</v>
      </c>
      <c r="H186" s="6">
        <f t="shared" si="7"/>
        <v>209.54999999999998</v>
      </c>
      <c r="I186" s="6">
        <f>0.055465*1000</f>
        <v>55.465000000000003</v>
      </c>
      <c r="J186" s="8" t="s">
        <v>457</v>
      </c>
      <c r="K186" s="8" t="s">
        <v>457</v>
      </c>
      <c r="L186" s="8" t="s">
        <v>457</v>
      </c>
    </row>
    <row r="187" spans="2:12" ht="25.5">
      <c r="B187" s="48" t="s">
        <v>206</v>
      </c>
      <c r="C187" s="6" t="s">
        <v>203</v>
      </c>
      <c r="D187" s="6" t="s">
        <v>357</v>
      </c>
      <c r="E187" s="14">
        <v>527075.9915</v>
      </c>
      <c r="F187" s="6">
        <f t="shared" si="6"/>
        <v>527.07499999999993</v>
      </c>
      <c r="G187" s="6">
        <f>0.527075*1000</f>
        <v>527.07499999999993</v>
      </c>
      <c r="H187" s="6">
        <f t="shared" si="7"/>
        <v>86.624999999999943</v>
      </c>
      <c r="I187" s="6">
        <f>0.44045*1000</f>
        <v>440.45</v>
      </c>
      <c r="J187" s="8" t="s">
        <v>457</v>
      </c>
      <c r="K187" s="8" t="s">
        <v>457</v>
      </c>
      <c r="L187" s="8" t="s">
        <v>457</v>
      </c>
    </row>
    <row r="188" spans="2:12" ht="26.25">
      <c r="B188" s="18" t="s">
        <v>209</v>
      </c>
      <c r="C188" s="6" t="s">
        <v>203</v>
      </c>
      <c r="D188" s="6" t="s">
        <v>294</v>
      </c>
      <c r="E188" s="7">
        <v>125083.35</v>
      </c>
      <c r="F188" s="6">
        <f t="shared" si="6"/>
        <v>125.083</v>
      </c>
      <c r="G188" s="6">
        <f>0.125083*1000</f>
        <v>125.083</v>
      </c>
      <c r="H188" s="6">
        <f t="shared" si="7"/>
        <v>88.444999999999993</v>
      </c>
      <c r="I188" s="6">
        <f>0.036638*1000</f>
        <v>36.637999999999998</v>
      </c>
      <c r="J188" s="8" t="s">
        <v>457</v>
      </c>
      <c r="K188" s="8" t="s">
        <v>457</v>
      </c>
      <c r="L188" s="8" t="s">
        <v>457</v>
      </c>
    </row>
    <row r="189" spans="2:12" ht="26.25">
      <c r="B189" s="18" t="s">
        <v>210</v>
      </c>
      <c r="C189" s="6" t="s">
        <v>203</v>
      </c>
      <c r="D189" s="6" t="s">
        <v>294</v>
      </c>
      <c r="E189" s="7">
        <v>125083.35</v>
      </c>
      <c r="F189" s="6">
        <f t="shared" si="6"/>
        <v>125.083</v>
      </c>
      <c r="G189" s="6">
        <f>0.125083*1000</f>
        <v>125.083</v>
      </c>
      <c r="H189" s="6">
        <f t="shared" si="7"/>
        <v>88.444999999999993</v>
      </c>
      <c r="I189" s="6">
        <f>0.036638*1000</f>
        <v>36.637999999999998</v>
      </c>
      <c r="J189" s="8" t="s">
        <v>457</v>
      </c>
      <c r="K189" s="8" t="s">
        <v>457</v>
      </c>
      <c r="L189" s="8" t="s">
        <v>457</v>
      </c>
    </row>
    <row r="190" spans="2:12" ht="26.25">
      <c r="B190" s="18" t="s">
        <v>211</v>
      </c>
      <c r="C190" s="6" t="s">
        <v>203</v>
      </c>
      <c r="D190" s="6" t="s">
        <v>294</v>
      </c>
      <c r="E190" s="7">
        <v>205199.21</v>
      </c>
      <c r="F190" s="6">
        <f t="shared" si="6"/>
        <v>205.19899999999998</v>
      </c>
      <c r="G190" s="6">
        <f>0.205199*1000</f>
        <v>205.19899999999998</v>
      </c>
      <c r="H190" s="6">
        <f t="shared" si="7"/>
        <v>125.48399999999999</v>
      </c>
      <c r="I190" s="6">
        <f>0.079715*1000</f>
        <v>79.714999999999989</v>
      </c>
      <c r="J190" s="8" t="s">
        <v>457</v>
      </c>
      <c r="K190" s="8" t="s">
        <v>457</v>
      </c>
      <c r="L190" s="8" t="s">
        <v>457</v>
      </c>
    </row>
    <row r="191" spans="2:12" ht="26.25">
      <c r="B191" s="18" t="s">
        <v>212</v>
      </c>
      <c r="C191" s="6" t="s">
        <v>203</v>
      </c>
      <c r="D191" s="6" t="s">
        <v>294</v>
      </c>
      <c r="E191" s="7">
        <v>157048.14000000001</v>
      </c>
      <c r="F191" s="6">
        <f t="shared" si="6"/>
        <v>157.048</v>
      </c>
      <c r="G191" s="6">
        <f t="shared" ref="G191:G196" si="8">0.157048*1000</f>
        <v>157.048</v>
      </c>
      <c r="H191" s="6">
        <f t="shared" si="7"/>
        <v>107.818</v>
      </c>
      <c r="I191" s="6">
        <f t="shared" ref="I191:I196" si="9">0.04923*1000</f>
        <v>49.230000000000004</v>
      </c>
      <c r="J191" s="8" t="s">
        <v>457</v>
      </c>
      <c r="K191" s="8" t="s">
        <v>457</v>
      </c>
      <c r="L191" s="8" t="s">
        <v>457</v>
      </c>
    </row>
    <row r="192" spans="2:12" ht="26.25">
      <c r="B192" s="18" t="s">
        <v>213</v>
      </c>
      <c r="C192" s="6" t="s">
        <v>203</v>
      </c>
      <c r="D192" s="6" t="s">
        <v>294</v>
      </c>
      <c r="E192" s="7">
        <v>157048.14000000001</v>
      </c>
      <c r="F192" s="6">
        <f t="shared" si="6"/>
        <v>157.048</v>
      </c>
      <c r="G192" s="6">
        <f t="shared" si="8"/>
        <v>157.048</v>
      </c>
      <c r="H192" s="6">
        <f t="shared" si="7"/>
        <v>107.818</v>
      </c>
      <c r="I192" s="6">
        <f t="shared" si="9"/>
        <v>49.230000000000004</v>
      </c>
      <c r="J192" s="8" t="s">
        <v>457</v>
      </c>
      <c r="K192" s="8" t="s">
        <v>457</v>
      </c>
      <c r="L192" s="8" t="s">
        <v>457</v>
      </c>
    </row>
    <row r="193" spans="2:12" ht="26.25">
      <c r="B193" s="18" t="s">
        <v>214</v>
      </c>
      <c r="C193" s="6" t="s">
        <v>203</v>
      </c>
      <c r="D193" s="6" t="s">
        <v>294</v>
      </c>
      <c r="E193" s="7">
        <v>157048.14000000001</v>
      </c>
      <c r="F193" s="6">
        <f t="shared" si="6"/>
        <v>157.048</v>
      </c>
      <c r="G193" s="6">
        <f t="shared" si="8"/>
        <v>157.048</v>
      </c>
      <c r="H193" s="6">
        <f t="shared" si="7"/>
        <v>107.818</v>
      </c>
      <c r="I193" s="6">
        <f t="shared" si="9"/>
        <v>49.230000000000004</v>
      </c>
      <c r="J193" s="8" t="s">
        <v>457</v>
      </c>
      <c r="K193" s="8" t="s">
        <v>457</v>
      </c>
      <c r="L193" s="8" t="s">
        <v>457</v>
      </c>
    </row>
    <row r="194" spans="2:12" ht="26.25">
      <c r="B194" s="18" t="s">
        <v>215</v>
      </c>
      <c r="C194" s="6" t="s">
        <v>203</v>
      </c>
      <c r="D194" s="6" t="s">
        <v>294</v>
      </c>
      <c r="E194" s="7">
        <v>157048.14000000001</v>
      </c>
      <c r="F194" s="6">
        <f t="shared" si="6"/>
        <v>157.048</v>
      </c>
      <c r="G194" s="6">
        <f t="shared" si="8"/>
        <v>157.048</v>
      </c>
      <c r="H194" s="6">
        <f t="shared" si="7"/>
        <v>107.818</v>
      </c>
      <c r="I194" s="6">
        <f t="shared" si="9"/>
        <v>49.230000000000004</v>
      </c>
      <c r="J194" s="8" t="s">
        <v>457</v>
      </c>
      <c r="K194" s="8" t="s">
        <v>457</v>
      </c>
      <c r="L194" s="8" t="s">
        <v>457</v>
      </c>
    </row>
    <row r="195" spans="2:12" ht="26.25">
      <c r="B195" s="18" t="s">
        <v>216</v>
      </c>
      <c r="C195" s="6" t="s">
        <v>203</v>
      </c>
      <c r="D195" s="6" t="s">
        <v>294</v>
      </c>
      <c r="E195" s="7">
        <v>157048.14000000001</v>
      </c>
      <c r="F195" s="6">
        <f t="shared" si="6"/>
        <v>157.048</v>
      </c>
      <c r="G195" s="6">
        <f t="shared" si="8"/>
        <v>157.048</v>
      </c>
      <c r="H195" s="6">
        <f t="shared" si="7"/>
        <v>107.818</v>
      </c>
      <c r="I195" s="6">
        <f t="shared" si="9"/>
        <v>49.230000000000004</v>
      </c>
      <c r="J195" s="8" t="s">
        <v>457</v>
      </c>
      <c r="K195" s="8" t="s">
        <v>457</v>
      </c>
      <c r="L195" s="8" t="s">
        <v>457</v>
      </c>
    </row>
    <row r="196" spans="2:12" ht="26.25">
      <c r="B196" s="18" t="s">
        <v>217</v>
      </c>
      <c r="C196" s="6" t="s">
        <v>203</v>
      </c>
      <c r="D196" s="6" t="s">
        <v>294</v>
      </c>
      <c r="E196" s="7">
        <v>157048.14000000001</v>
      </c>
      <c r="F196" s="6">
        <f t="shared" si="6"/>
        <v>157.048</v>
      </c>
      <c r="G196" s="6">
        <f t="shared" si="8"/>
        <v>157.048</v>
      </c>
      <c r="H196" s="6">
        <f t="shared" si="7"/>
        <v>107.818</v>
      </c>
      <c r="I196" s="6">
        <f t="shared" si="9"/>
        <v>49.230000000000004</v>
      </c>
      <c r="J196" s="8" t="s">
        <v>457</v>
      </c>
      <c r="K196" s="8" t="s">
        <v>457</v>
      </c>
      <c r="L196" s="8" t="s">
        <v>457</v>
      </c>
    </row>
    <row r="197" spans="2:12" ht="26.25">
      <c r="B197" s="18" t="s">
        <v>218</v>
      </c>
      <c r="C197" s="6" t="s">
        <v>203</v>
      </c>
      <c r="D197" s="6" t="s">
        <v>294</v>
      </c>
      <c r="E197" s="7">
        <v>157566.74</v>
      </c>
      <c r="F197" s="6">
        <f t="shared" si="6"/>
        <v>157.566</v>
      </c>
      <c r="G197" s="6">
        <f t="shared" ref="G197:G205" si="10">0.157566*1000</f>
        <v>157.566</v>
      </c>
      <c r="H197" s="6">
        <f t="shared" si="7"/>
        <v>116.65100000000001</v>
      </c>
      <c r="I197" s="6">
        <f t="shared" ref="I197:I223" si="11">0.040915*1000</f>
        <v>40.914999999999999</v>
      </c>
      <c r="J197" s="8" t="s">
        <v>457</v>
      </c>
      <c r="K197" s="8" t="s">
        <v>457</v>
      </c>
      <c r="L197" s="8" t="s">
        <v>457</v>
      </c>
    </row>
    <row r="198" spans="2:12" ht="26.25">
      <c r="B198" s="18" t="s">
        <v>219</v>
      </c>
      <c r="C198" s="6" t="s">
        <v>203</v>
      </c>
      <c r="D198" s="6" t="s">
        <v>354</v>
      </c>
      <c r="E198" s="7">
        <v>157566.74</v>
      </c>
      <c r="F198" s="6">
        <f t="shared" si="6"/>
        <v>157.566</v>
      </c>
      <c r="G198" s="6">
        <f t="shared" si="10"/>
        <v>157.566</v>
      </c>
      <c r="H198" s="6">
        <f t="shared" si="7"/>
        <v>116.65100000000001</v>
      </c>
      <c r="I198" s="6">
        <f t="shared" si="11"/>
        <v>40.914999999999999</v>
      </c>
      <c r="J198" s="8" t="s">
        <v>457</v>
      </c>
      <c r="K198" s="8" t="s">
        <v>457</v>
      </c>
      <c r="L198" s="8" t="s">
        <v>457</v>
      </c>
    </row>
    <row r="199" spans="2:12" ht="26.25">
      <c r="B199" s="18" t="s">
        <v>220</v>
      </c>
      <c r="C199" s="6" t="s">
        <v>203</v>
      </c>
      <c r="D199" s="6" t="s">
        <v>294</v>
      </c>
      <c r="E199" s="7">
        <v>157566.74</v>
      </c>
      <c r="F199" s="6">
        <f t="shared" si="6"/>
        <v>157.566</v>
      </c>
      <c r="G199" s="6">
        <f t="shared" si="10"/>
        <v>157.566</v>
      </c>
      <c r="H199" s="6">
        <f t="shared" si="7"/>
        <v>116.65100000000001</v>
      </c>
      <c r="I199" s="6">
        <f t="shared" si="11"/>
        <v>40.914999999999999</v>
      </c>
      <c r="J199" s="8" t="s">
        <v>457</v>
      </c>
      <c r="K199" s="8" t="s">
        <v>457</v>
      </c>
      <c r="L199" s="8" t="s">
        <v>457</v>
      </c>
    </row>
    <row r="200" spans="2:12" ht="26.25">
      <c r="B200" s="18" t="s">
        <v>221</v>
      </c>
      <c r="C200" s="6" t="s">
        <v>203</v>
      </c>
      <c r="D200" s="6" t="s">
        <v>294</v>
      </c>
      <c r="E200" s="7">
        <v>157566.74</v>
      </c>
      <c r="F200" s="6">
        <f t="shared" si="6"/>
        <v>157.566</v>
      </c>
      <c r="G200" s="6">
        <f t="shared" si="10"/>
        <v>157.566</v>
      </c>
      <c r="H200" s="6">
        <f t="shared" si="7"/>
        <v>116.65100000000001</v>
      </c>
      <c r="I200" s="6">
        <f t="shared" si="11"/>
        <v>40.914999999999999</v>
      </c>
      <c r="J200" s="8" t="s">
        <v>457</v>
      </c>
      <c r="K200" s="8" t="s">
        <v>457</v>
      </c>
      <c r="L200" s="8" t="s">
        <v>457</v>
      </c>
    </row>
    <row r="201" spans="2:12" ht="26.25">
      <c r="B201" s="18" t="s">
        <v>222</v>
      </c>
      <c r="C201" s="6" t="s">
        <v>203</v>
      </c>
      <c r="D201" s="6" t="s">
        <v>294</v>
      </c>
      <c r="E201" s="7">
        <v>157566.74</v>
      </c>
      <c r="F201" s="6">
        <f t="shared" si="6"/>
        <v>157.566</v>
      </c>
      <c r="G201" s="6">
        <f t="shared" si="10"/>
        <v>157.566</v>
      </c>
      <c r="H201" s="6">
        <f t="shared" si="7"/>
        <v>116.65100000000001</v>
      </c>
      <c r="I201" s="6">
        <f t="shared" si="11"/>
        <v>40.914999999999999</v>
      </c>
      <c r="J201" s="8" t="s">
        <v>457</v>
      </c>
      <c r="K201" s="8" t="s">
        <v>457</v>
      </c>
      <c r="L201" s="8" t="s">
        <v>457</v>
      </c>
    </row>
    <row r="202" spans="2:12" ht="26.25">
      <c r="B202" s="18" t="s">
        <v>223</v>
      </c>
      <c r="C202" s="6" t="s">
        <v>203</v>
      </c>
      <c r="D202" s="6" t="s">
        <v>294</v>
      </c>
      <c r="E202" s="7">
        <v>157566.74</v>
      </c>
      <c r="F202" s="6">
        <f t="shared" si="6"/>
        <v>157.566</v>
      </c>
      <c r="G202" s="6">
        <f t="shared" si="10"/>
        <v>157.566</v>
      </c>
      <c r="H202" s="6">
        <f t="shared" si="7"/>
        <v>116.65100000000001</v>
      </c>
      <c r="I202" s="6">
        <f t="shared" si="11"/>
        <v>40.914999999999999</v>
      </c>
      <c r="J202" s="8" t="s">
        <v>457</v>
      </c>
      <c r="K202" s="8" t="s">
        <v>457</v>
      </c>
      <c r="L202" s="8" t="s">
        <v>457</v>
      </c>
    </row>
    <row r="203" spans="2:12" ht="26.25">
      <c r="B203" s="18" t="s">
        <v>224</v>
      </c>
      <c r="C203" s="6" t="s">
        <v>203</v>
      </c>
      <c r="D203" s="6" t="s">
        <v>294</v>
      </c>
      <c r="E203" s="7">
        <v>157566.74</v>
      </c>
      <c r="F203" s="6">
        <f t="shared" si="6"/>
        <v>157.566</v>
      </c>
      <c r="G203" s="6">
        <f t="shared" si="10"/>
        <v>157.566</v>
      </c>
      <c r="H203" s="6">
        <f t="shared" si="7"/>
        <v>116.65100000000001</v>
      </c>
      <c r="I203" s="6">
        <f t="shared" si="11"/>
        <v>40.914999999999999</v>
      </c>
      <c r="J203" s="8" t="s">
        <v>457</v>
      </c>
      <c r="K203" s="8" t="s">
        <v>457</v>
      </c>
      <c r="L203" s="8" t="s">
        <v>457</v>
      </c>
    </row>
    <row r="204" spans="2:12" ht="26.25">
      <c r="B204" s="18" t="s">
        <v>225</v>
      </c>
      <c r="C204" s="6" t="s">
        <v>203</v>
      </c>
      <c r="D204" s="6" t="s">
        <v>294</v>
      </c>
      <c r="E204" s="7">
        <v>157566.74</v>
      </c>
      <c r="F204" s="6">
        <f t="shared" si="6"/>
        <v>157.566</v>
      </c>
      <c r="G204" s="6">
        <f t="shared" si="10"/>
        <v>157.566</v>
      </c>
      <c r="H204" s="6">
        <f t="shared" si="7"/>
        <v>116.65100000000001</v>
      </c>
      <c r="I204" s="6">
        <f t="shared" si="11"/>
        <v>40.914999999999999</v>
      </c>
      <c r="J204" s="8" t="s">
        <v>457</v>
      </c>
      <c r="K204" s="8" t="s">
        <v>457</v>
      </c>
      <c r="L204" s="8" t="s">
        <v>457</v>
      </c>
    </row>
    <row r="205" spans="2:12" ht="26.25">
      <c r="B205" s="18" t="s">
        <v>226</v>
      </c>
      <c r="C205" s="6" t="s">
        <v>203</v>
      </c>
      <c r="D205" s="6" t="s">
        <v>294</v>
      </c>
      <c r="E205" s="7">
        <v>157566.74</v>
      </c>
      <c r="F205" s="6">
        <f t="shared" si="6"/>
        <v>157.566</v>
      </c>
      <c r="G205" s="6">
        <f t="shared" si="10"/>
        <v>157.566</v>
      </c>
      <c r="H205" s="6">
        <f t="shared" si="7"/>
        <v>116.65100000000001</v>
      </c>
      <c r="I205" s="6">
        <f t="shared" si="11"/>
        <v>40.914999999999999</v>
      </c>
      <c r="J205" s="8" t="s">
        <v>457</v>
      </c>
      <c r="K205" s="8" t="s">
        <v>457</v>
      </c>
      <c r="L205" s="8" t="s">
        <v>457</v>
      </c>
    </row>
    <row r="206" spans="2:12" ht="26.25">
      <c r="B206" s="18" t="s">
        <v>227</v>
      </c>
      <c r="C206" s="6" t="s">
        <v>203</v>
      </c>
      <c r="D206" s="6" t="s">
        <v>294</v>
      </c>
      <c r="E206" s="7">
        <v>157566.74</v>
      </c>
      <c r="F206" s="6">
        <f t="shared" si="6"/>
        <v>157.18899999999999</v>
      </c>
      <c r="G206" s="6">
        <f>0.157189*1000</f>
        <v>157.18899999999999</v>
      </c>
      <c r="H206" s="6">
        <f t="shared" si="7"/>
        <v>116.274</v>
      </c>
      <c r="I206" s="6">
        <f t="shared" si="11"/>
        <v>40.914999999999999</v>
      </c>
      <c r="J206" s="8" t="s">
        <v>457</v>
      </c>
      <c r="K206" s="8" t="s">
        <v>457</v>
      </c>
      <c r="L206" s="8" t="s">
        <v>457</v>
      </c>
    </row>
    <row r="207" spans="2:12" ht="26.25">
      <c r="B207" s="18" t="s">
        <v>228</v>
      </c>
      <c r="C207" s="6" t="s">
        <v>203</v>
      </c>
      <c r="D207" s="6" t="s">
        <v>294</v>
      </c>
      <c r="E207" s="7">
        <v>157566.74</v>
      </c>
      <c r="F207" s="6">
        <f t="shared" si="6"/>
        <v>157.566</v>
      </c>
      <c r="G207" s="6">
        <f>0.157566*1000</f>
        <v>157.566</v>
      </c>
      <c r="H207" s="6">
        <f t="shared" si="7"/>
        <v>116.65100000000001</v>
      </c>
      <c r="I207" s="6">
        <f t="shared" si="11"/>
        <v>40.914999999999999</v>
      </c>
      <c r="J207" s="8" t="s">
        <v>457</v>
      </c>
      <c r="K207" s="8" t="s">
        <v>457</v>
      </c>
      <c r="L207" s="8" t="s">
        <v>457</v>
      </c>
    </row>
    <row r="208" spans="2:12" ht="26.25">
      <c r="B208" s="18" t="s">
        <v>229</v>
      </c>
      <c r="C208" s="6" t="s">
        <v>203</v>
      </c>
      <c r="D208" s="6" t="s">
        <v>294</v>
      </c>
      <c r="E208" s="7">
        <v>157566.74</v>
      </c>
      <c r="F208" s="6">
        <f t="shared" si="6"/>
        <v>157.566</v>
      </c>
      <c r="G208" s="6">
        <f>0.157566*1000</f>
        <v>157.566</v>
      </c>
      <c r="H208" s="6">
        <f t="shared" si="7"/>
        <v>116.65100000000001</v>
      </c>
      <c r="I208" s="6">
        <f t="shared" si="11"/>
        <v>40.914999999999999</v>
      </c>
      <c r="J208" s="8" t="s">
        <v>457</v>
      </c>
      <c r="K208" s="8" t="s">
        <v>457</v>
      </c>
      <c r="L208" s="8" t="s">
        <v>457</v>
      </c>
    </row>
    <row r="209" spans="2:12" ht="26.25">
      <c r="B209" s="18" t="s">
        <v>230</v>
      </c>
      <c r="C209" s="6" t="s">
        <v>203</v>
      </c>
      <c r="D209" s="6" t="s">
        <v>294</v>
      </c>
      <c r="E209" s="7">
        <v>157566.74</v>
      </c>
      <c r="F209" s="6">
        <f t="shared" si="6"/>
        <v>157.566</v>
      </c>
      <c r="G209" s="6">
        <f>0.157566*1000</f>
        <v>157.566</v>
      </c>
      <c r="H209" s="6">
        <f t="shared" si="7"/>
        <v>116.65100000000001</v>
      </c>
      <c r="I209" s="6">
        <f t="shared" si="11"/>
        <v>40.914999999999999</v>
      </c>
      <c r="J209" s="8" t="s">
        <v>457</v>
      </c>
      <c r="K209" s="8" t="s">
        <v>457</v>
      </c>
      <c r="L209" s="8" t="s">
        <v>457</v>
      </c>
    </row>
    <row r="210" spans="2:12" ht="26.25">
      <c r="B210" s="18" t="s">
        <v>231</v>
      </c>
      <c r="C210" s="6" t="s">
        <v>203</v>
      </c>
      <c r="D210" s="6" t="s">
        <v>294</v>
      </c>
      <c r="E210" s="7">
        <v>157566.74</v>
      </c>
      <c r="F210" s="6">
        <f t="shared" si="6"/>
        <v>157.18899999999999</v>
      </c>
      <c r="G210" s="6">
        <f t="shared" ref="G210:G217" si="12">0.157189*1000</f>
        <v>157.18899999999999</v>
      </c>
      <c r="H210" s="6">
        <f t="shared" si="7"/>
        <v>116.274</v>
      </c>
      <c r="I210" s="6">
        <f t="shared" si="11"/>
        <v>40.914999999999999</v>
      </c>
      <c r="J210" s="8" t="s">
        <v>457</v>
      </c>
      <c r="K210" s="8" t="s">
        <v>457</v>
      </c>
      <c r="L210" s="8" t="s">
        <v>457</v>
      </c>
    </row>
    <row r="211" spans="2:12" ht="26.25">
      <c r="B211" s="18" t="s">
        <v>232</v>
      </c>
      <c r="C211" s="6" t="s">
        <v>203</v>
      </c>
      <c r="D211" s="6" t="s">
        <v>294</v>
      </c>
      <c r="E211" s="7">
        <v>157566.74</v>
      </c>
      <c r="F211" s="6">
        <f t="shared" si="6"/>
        <v>157.18899999999999</v>
      </c>
      <c r="G211" s="6">
        <f t="shared" si="12"/>
        <v>157.18899999999999</v>
      </c>
      <c r="H211" s="6">
        <f t="shared" si="7"/>
        <v>116.274</v>
      </c>
      <c r="I211" s="6">
        <f t="shared" si="11"/>
        <v>40.914999999999999</v>
      </c>
      <c r="J211" s="8" t="s">
        <v>457</v>
      </c>
      <c r="K211" s="8" t="s">
        <v>457</v>
      </c>
      <c r="L211" s="8" t="s">
        <v>457</v>
      </c>
    </row>
    <row r="212" spans="2:12" ht="26.25">
      <c r="B212" s="18" t="s">
        <v>233</v>
      </c>
      <c r="C212" s="6" t="s">
        <v>203</v>
      </c>
      <c r="D212" s="6" t="s">
        <v>294</v>
      </c>
      <c r="E212" s="7">
        <v>157566.74</v>
      </c>
      <c r="F212" s="6">
        <f t="shared" si="6"/>
        <v>157.18899999999999</v>
      </c>
      <c r="G212" s="6">
        <f t="shared" si="12"/>
        <v>157.18899999999999</v>
      </c>
      <c r="H212" s="6">
        <f t="shared" si="7"/>
        <v>116.274</v>
      </c>
      <c r="I212" s="6">
        <f t="shared" si="11"/>
        <v>40.914999999999999</v>
      </c>
      <c r="J212" s="8" t="s">
        <v>457</v>
      </c>
      <c r="K212" s="8" t="s">
        <v>457</v>
      </c>
      <c r="L212" s="8" t="s">
        <v>457</v>
      </c>
    </row>
    <row r="213" spans="2:12" ht="26.25">
      <c r="B213" s="18" t="s">
        <v>234</v>
      </c>
      <c r="C213" s="6" t="s">
        <v>203</v>
      </c>
      <c r="D213" s="6" t="s">
        <v>294</v>
      </c>
      <c r="E213" s="7">
        <v>157566.74</v>
      </c>
      <c r="F213" s="6">
        <f t="shared" si="6"/>
        <v>157.18899999999999</v>
      </c>
      <c r="G213" s="6">
        <f t="shared" si="12"/>
        <v>157.18899999999999</v>
      </c>
      <c r="H213" s="6">
        <f t="shared" si="7"/>
        <v>116.274</v>
      </c>
      <c r="I213" s="6">
        <f t="shared" si="11"/>
        <v>40.914999999999999</v>
      </c>
      <c r="J213" s="8" t="s">
        <v>457</v>
      </c>
      <c r="K213" s="8" t="s">
        <v>457</v>
      </c>
      <c r="L213" s="8" t="s">
        <v>457</v>
      </c>
    </row>
    <row r="214" spans="2:12" ht="26.25">
      <c r="B214" s="18" t="s">
        <v>235</v>
      </c>
      <c r="C214" s="6" t="s">
        <v>203</v>
      </c>
      <c r="D214" s="6" t="s">
        <v>294</v>
      </c>
      <c r="E214" s="7">
        <v>157566.74</v>
      </c>
      <c r="F214" s="6">
        <f t="shared" si="6"/>
        <v>157.18899999999999</v>
      </c>
      <c r="G214" s="6">
        <f t="shared" si="12"/>
        <v>157.18899999999999</v>
      </c>
      <c r="H214" s="6">
        <f t="shared" si="7"/>
        <v>116.274</v>
      </c>
      <c r="I214" s="6">
        <f t="shared" si="11"/>
        <v>40.914999999999999</v>
      </c>
      <c r="J214" s="8" t="s">
        <v>457</v>
      </c>
      <c r="K214" s="8" t="s">
        <v>457</v>
      </c>
      <c r="L214" s="8" t="s">
        <v>457</v>
      </c>
    </row>
    <row r="215" spans="2:12" ht="26.25">
      <c r="B215" s="18" t="s">
        <v>236</v>
      </c>
      <c r="C215" s="6" t="s">
        <v>203</v>
      </c>
      <c r="D215" s="6" t="s">
        <v>294</v>
      </c>
      <c r="E215" s="7">
        <v>157566.74</v>
      </c>
      <c r="F215" s="6">
        <f t="shared" si="6"/>
        <v>157.18899999999999</v>
      </c>
      <c r="G215" s="6">
        <f t="shared" si="12"/>
        <v>157.18899999999999</v>
      </c>
      <c r="H215" s="6">
        <f t="shared" si="7"/>
        <v>116.274</v>
      </c>
      <c r="I215" s="6">
        <f t="shared" si="11"/>
        <v>40.914999999999999</v>
      </c>
      <c r="J215" s="8" t="s">
        <v>457</v>
      </c>
      <c r="K215" s="8" t="s">
        <v>457</v>
      </c>
      <c r="L215" s="8" t="s">
        <v>457</v>
      </c>
    </row>
    <row r="216" spans="2:12" ht="26.25">
      <c r="B216" s="18" t="s">
        <v>237</v>
      </c>
      <c r="C216" s="6" t="s">
        <v>203</v>
      </c>
      <c r="D216" s="6" t="s">
        <v>294</v>
      </c>
      <c r="E216" s="7">
        <v>157566.74</v>
      </c>
      <c r="F216" s="6">
        <f t="shared" si="6"/>
        <v>157.18899999999999</v>
      </c>
      <c r="G216" s="6">
        <f t="shared" si="12"/>
        <v>157.18899999999999</v>
      </c>
      <c r="H216" s="6">
        <f t="shared" si="7"/>
        <v>116.274</v>
      </c>
      <c r="I216" s="6">
        <f t="shared" si="11"/>
        <v>40.914999999999999</v>
      </c>
      <c r="J216" s="8" t="s">
        <v>457</v>
      </c>
      <c r="K216" s="8" t="s">
        <v>457</v>
      </c>
      <c r="L216" s="8" t="s">
        <v>457</v>
      </c>
    </row>
    <row r="217" spans="2:12" ht="26.25">
      <c r="B217" s="18" t="s">
        <v>238</v>
      </c>
      <c r="C217" s="6" t="s">
        <v>203</v>
      </c>
      <c r="D217" s="6" t="s">
        <v>294</v>
      </c>
      <c r="E217" s="7">
        <v>157566.74</v>
      </c>
      <c r="F217" s="6">
        <f t="shared" si="6"/>
        <v>157.18899999999999</v>
      </c>
      <c r="G217" s="6">
        <f t="shared" si="12"/>
        <v>157.18899999999999</v>
      </c>
      <c r="H217" s="6">
        <f t="shared" si="7"/>
        <v>116.274</v>
      </c>
      <c r="I217" s="6">
        <f t="shared" si="11"/>
        <v>40.914999999999999</v>
      </c>
      <c r="J217" s="8" t="s">
        <v>457</v>
      </c>
      <c r="K217" s="8" t="s">
        <v>457</v>
      </c>
      <c r="L217" s="8" t="s">
        <v>457</v>
      </c>
    </row>
    <row r="218" spans="2:12" ht="26.25">
      <c r="B218" s="18" t="s">
        <v>239</v>
      </c>
      <c r="C218" s="6" t="s">
        <v>203</v>
      </c>
      <c r="D218" s="6" t="s">
        <v>306</v>
      </c>
      <c r="E218" s="7">
        <v>148733.94</v>
      </c>
      <c r="F218" s="6">
        <f t="shared" si="6"/>
        <v>148.733</v>
      </c>
      <c r="G218" s="6">
        <f>0.148733*1000</f>
        <v>148.733</v>
      </c>
      <c r="H218" s="6">
        <f t="shared" si="7"/>
        <v>107.81800000000001</v>
      </c>
      <c r="I218" s="6">
        <f t="shared" si="11"/>
        <v>40.914999999999999</v>
      </c>
      <c r="J218" s="8" t="s">
        <v>457</v>
      </c>
      <c r="K218" s="8" t="s">
        <v>457</v>
      </c>
      <c r="L218" s="8" t="s">
        <v>457</v>
      </c>
    </row>
    <row r="219" spans="2:12" ht="26.25">
      <c r="B219" s="18" t="s">
        <v>240</v>
      </c>
      <c r="C219" s="6" t="s">
        <v>203</v>
      </c>
      <c r="D219" s="6" t="s">
        <v>294</v>
      </c>
      <c r="E219" s="7">
        <v>157566.74</v>
      </c>
      <c r="F219" s="6">
        <f t="shared" si="6"/>
        <v>157.18899999999999</v>
      </c>
      <c r="G219" s="6">
        <f>0.157189*1000</f>
        <v>157.18899999999999</v>
      </c>
      <c r="H219" s="6">
        <f t="shared" si="7"/>
        <v>116.274</v>
      </c>
      <c r="I219" s="6">
        <f t="shared" si="11"/>
        <v>40.914999999999999</v>
      </c>
      <c r="J219" s="8" t="s">
        <v>457</v>
      </c>
      <c r="K219" s="8" t="s">
        <v>457</v>
      </c>
      <c r="L219" s="8" t="s">
        <v>457</v>
      </c>
    </row>
    <row r="220" spans="2:12" ht="26.25">
      <c r="B220" s="18" t="s">
        <v>241</v>
      </c>
      <c r="C220" s="6" t="s">
        <v>203</v>
      </c>
      <c r="D220" s="6" t="s">
        <v>294</v>
      </c>
      <c r="E220" s="7">
        <v>157566.74</v>
      </c>
      <c r="F220" s="6">
        <f t="shared" si="6"/>
        <v>157.18899999999999</v>
      </c>
      <c r="G220" s="6">
        <f>0.157189*1000</f>
        <v>157.18899999999999</v>
      </c>
      <c r="H220" s="6">
        <f t="shared" si="7"/>
        <v>116.274</v>
      </c>
      <c r="I220" s="6">
        <f t="shared" si="11"/>
        <v>40.914999999999999</v>
      </c>
      <c r="J220" s="8" t="s">
        <v>457</v>
      </c>
      <c r="K220" s="8" t="s">
        <v>457</v>
      </c>
      <c r="L220" s="8" t="s">
        <v>457</v>
      </c>
    </row>
    <row r="221" spans="2:12" ht="26.25">
      <c r="B221" s="18" t="s">
        <v>242</v>
      </c>
      <c r="C221" s="6" t="s">
        <v>203</v>
      </c>
      <c r="D221" s="6" t="s">
        <v>294</v>
      </c>
      <c r="E221" s="7">
        <v>148733.94</v>
      </c>
      <c r="F221" s="6">
        <f t="shared" si="6"/>
        <v>148.733</v>
      </c>
      <c r="G221" s="6">
        <f>0.148733*1000</f>
        <v>148.733</v>
      </c>
      <c r="H221" s="6">
        <f t="shared" si="7"/>
        <v>107.81800000000001</v>
      </c>
      <c r="I221" s="6">
        <f t="shared" si="11"/>
        <v>40.914999999999999</v>
      </c>
      <c r="J221" s="8" t="s">
        <v>457</v>
      </c>
      <c r="K221" s="8" t="s">
        <v>457</v>
      </c>
      <c r="L221" s="8" t="s">
        <v>457</v>
      </c>
    </row>
    <row r="222" spans="2:12" ht="26.25">
      <c r="B222" s="18" t="s">
        <v>243</v>
      </c>
      <c r="C222" s="6" t="s">
        <v>203</v>
      </c>
      <c r="D222" s="6" t="s">
        <v>294</v>
      </c>
      <c r="E222" s="7">
        <v>148733.94</v>
      </c>
      <c r="F222" s="6">
        <f t="shared" si="6"/>
        <v>148.733</v>
      </c>
      <c r="G222" s="6">
        <f>0.148733*1000</f>
        <v>148.733</v>
      </c>
      <c r="H222" s="6">
        <f t="shared" si="7"/>
        <v>107.81800000000001</v>
      </c>
      <c r="I222" s="6">
        <f t="shared" si="11"/>
        <v>40.914999999999999</v>
      </c>
      <c r="J222" s="8" t="s">
        <v>457</v>
      </c>
      <c r="K222" s="8" t="s">
        <v>457</v>
      </c>
      <c r="L222" s="8" t="s">
        <v>457</v>
      </c>
    </row>
    <row r="223" spans="2:12" ht="26.25">
      <c r="B223" s="18" t="s">
        <v>244</v>
      </c>
      <c r="C223" s="6" t="s">
        <v>203</v>
      </c>
      <c r="D223" s="6" t="s">
        <v>358</v>
      </c>
      <c r="E223" s="7">
        <v>148733.94</v>
      </c>
      <c r="F223" s="6">
        <f t="shared" si="6"/>
        <v>148.733</v>
      </c>
      <c r="G223" s="6">
        <f>0.148733*1000</f>
        <v>148.733</v>
      </c>
      <c r="H223" s="6">
        <f t="shared" si="7"/>
        <v>107.81800000000001</v>
      </c>
      <c r="I223" s="6">
        <f t="shared" si="11"/>
        <v>40.914999999999999</v>
      </c>
      <c r="J223" s="8" t="s">
        <v>457</v>
      </c>
      <c r="K223" s="8" t="s">
        <v>457</v>
      </c>
      <c r="L223" s="8" t="s">
        <v>457</v>
      </c>
    </row>
    <row r="224" spans="2:12" ht="26.25">
      <c r="B224" s="18" t="s">
        <v>245</v>
      </c>
      <c r="C224" s="6" t="s">
        <v>203</v>
      </c>
      <c r="D224" s="6" t="s">
        <v>294</v>
      </c>
      <c r="E224" s="7">
        <v>179794.71</v>
      </c>
      <c r="F224" s="6">
        <f t="shared" ref="F224:F262" si="13">G224</f>
        <v>179.79400000000001</v>
      </c>
      <c r="G224" s="6">
        <f>0.179794*1000</f>
        <v>179.79400000000001</v>
      </c>
      <c r="H224" s="6">
        <f t="shared" ref="H224:H262" si="14">G224-I224</f>
        <v>125.48400000000001</v>
      </c>
      <c r="I224" s="6">
        <f>0.05431*1000</f>
        <v>54.309999999999995</v>
      </c>
      <c r="J224" s="8" t="s">
        <v>457</v>
      </c>
      <c r="K224" s="8" t="s">
        <v>457</v>
      </c>
      <c r="L224" s="8" t="s">
        <v>457</v>
      </c>
    </row>
    <row r="225" spans="2:12" ht="26.25">
      <c r="B225" s="18" t="s">
        <v>246</v>
      </c>
      <c r="C225" s="6" t="s">
        <v>203</v>
      </c>
      <c r="D225" s="6" t="s">
        <v>294</v>
      </c>
      <c r="E225" s="7">
        <v>179794.71</v>
      </c>
      <c r="F225" s="6">
        <f t="shared" si="13"/>
        <v>179.79400000000001</v>
      </c>
      <c r="G225" s="6">
        <f>0.179794*1000</f>
        <v>179.79400000000001</v>
      </c>
      <c r="H225" s="6">
        <f t="shared" si="14"/>
        <v>125.48400000000001</v>
      </c>
      <c r="I225" s="6">
        <f>0.05431*1000</f>
        <v>54.309999999999995</v>
      </c>
      <c r="J225" s="8" t="s">
        <v>457</v>
      </c>
      <c r="K225" s="8" t="s">
        <v>457</v>
      </c>
      <c r="L225" s="8" t="s">
        <v>457</v>
      </c>
    </row>
    <row r="226" spans="2:12" ht="26.25">
      <c r="B226" s="18" t="s">
        <v>247</v>
      </c>
      <c r="C226" s="6" t="s">
        <v>203</v>
      </c>
      <c r="D226" s="6" t="s">
        <v>294</v>
      </c>
      <c r="E226" s="7">
        <v>179794.71</v>
      </c>
      <c r="F226" s="6">
        <f t="shared" si="13"/>
        <v>179.79400000000001</v>
      </c>
      <c r="G226" s="6">
        <f>0.179794*1000</f>
        <v>179.79400000000001</v>
      </c>
      <c r="H226" s="6">
        <f t="shared" si="14"/>
        <v>125.48400000000001</v>
      </c>
      <c r="I226" s="6">
        <f>0.05431*1000</f>
        <v>54.309999999999995</v>
      </c>
      <c r="J226" s="8" t="s">
        <v>457</v>
      </c>
      <c r="K226" s="8" t="s">
        <v>457</v>
      </c>
      <c r="L226" s="8" t="s">
        <v>457</v>
      </c>
    </row>
    <row r="227" spans="2:12" ht="26.25">
      <c r="B227" s="18" t="s">
        <v>248</v>
      </c>
      <c r="C227" s="6" t="s">
        <v>203</v>
      </c>
      <c r="D227" s="6" t="s">
        <v>294</v>
      </c>
      <c r="E227" s="7">
        <v>179794.71</v>
      </c>
      <c r="F227" s="6">
        <f t="shared" si="13"/>
        <v>179.79400000000001</v>
      </c>
      <c r="G227" s="6">
        <f>0.179794*1000</f>
        <v>179.79400000000001</v>
      </c>
      <c r="H227" s="6">
        <f t="shared" si="14"/>
        <v>125.48400000000001</v>
      </c>
      <c r="I227" s="6">
        <f>0.05431*1000</f>
        <v>54.309999999999995</v>
      </c>
      <c r="J227" s="8" t="s">
        <v>457</v>
      </c>
      <c r="K227" s="8" t="s">
        <v>457</v>
      </c>
      <c r="L227" s="8" t="s">
        <v>457</v>
      </c>
    </row>
    <row r="228" spans="2:12" ht="26.25">
      <c r="B228" s="18" t="s">
        <v>249</v>
      </c>
      <c r="C228" s="6" t="s">
        <v>203</v>
      </c>
      <c r="D228" s="6" t="s">
        <v>294</v>
      </c>
      <c r="E228" s="7">
        <v>179794.71</v>
      </c>
      <c r="F228" s="6">
        <f t="shared" si="13"/>
        <v>179.79400000000001</v>
      </c>
      <c r="G228" s="6">
        <f>0.179794*1000</f>
        <v>179.79400000000001</v>
      </c>
      <c r="H228" s="6">
        <f t="shared" si="14"/>
        <v>125.48400000000001</v>
      </c>
      <c r="I228" s="6">
        <f>0.05431*1000</f>
        <v>54.309999999999995</v>
      </c>
      <c r="J228" s="8" t="s">
        <v>457</v>
      </c>
      <c r="K228" s="8" t="s">
        <v>457</v>
      </c>
      <c r="L228" s="8" t="s">
        <v>457</v>
      </c>
    </row>
    <row r="229" spans="2:12" ht="39">
      <c r="B229" s="18" t="s">
        <v>250</v>
      </c>
      <c r="C229" s="6" t="s">
        <v>203</v>
      </c>
      <c r="D229" s="6" t="s">
        <v>294</v>
      </c>
      <c r="E229" s="7">
        <v>315133.48</v>
      </c>
      <c r="F229" s="6">
        <f t="shared" si="13"/>
        <v>315.13299999999998</v>
      </c>
      <c r="G229" s="6">
        <f>0.315133*1000</f>
        <v>315.13299999999998</v>
      </c>
      <c r="H229" s="6">
        <f t="shared" si="14"/>
        <v>233.30199999999996</v>
      </c>
      <c r="I229" s="6">
        <f>0.081831*1000</f>
        <v>81.831000000000003</v>
      </c>
      <c r="J229" s="8" t="s">
        <v>457</v>
      </c>
      <c r="K229" s="8" t="s">
        <v>457</v>
      </c>
      <c r="L229" s="8" t="s">
        <v>457</v>
      </c>
    </row>
    <row r="230" spans="2:12" ht="39">
      <c r="B230" s="18" t="s">
        <v>251</v>
      </c>
      <c r="C230" s="6" t="s">
        <v>203</v>
      </c>
      <c r="D230" s="6" t="s">
        <v>294</v>
      </c>
      <c r="E230" s="7">
        <v>315133.48</v>
      </c>
      <c r="F230" s="6">
        <f t="shared" si="13"/>
        <v>315.13299999999998</v>
      </c>
      <c r="G230" s="6">
        <f>0.315133*1000</f>
        <v>315.13299999999998</v>
      </c>
      <c r="H230" s="6">
        <f t="shared" si="14"/>
        <v>233.30199999999996</v>
      </c>
      <c r="I230" s="6">
        <f>0.081831*1000</f>
        <v>81.831000000000003</v>
      </c>
      <c r="J230" s="8" t="s">
        <v>457</v>
      </c>
      <c r="K230" s="8" t="s">
        <v>457</v>
      </c>
      <c r="L230" s="8" t="s">
        <v>457</v>
      </c>
    </row>
    <row r="231" spans="2:12" ht="39">
      <c r="B231" s="18" t="s">
        <v>252</v>
      </c>
      <c r="C231" s="6" t="s">
        <v>203</v>
      </c>
      <c r="D231" s="6" t="s">
        <v>297</v>
      </c>
      <c r="E231" s="7">
        <v>315133.48</v>
      </c>
      <c r="F231" s="6">
        <f t="shared" si="13"/>
        <v>315.13299999999998</v>
      </c>
      <c r="G231" s="6">
        <f>0.315133*1000</f>
        <v>315.13299999999998</v>
      </c>
      <c r="H231" s="6">
        <f t="shared" si="14"/>
        <v>233.30199999999996</v>
      </c>
      <c r="I231" s="6">
        <f>0.081831*1000</f>
        <v>81.831000000000003</v>
      </c>
      <c r="J231" s="8" t="s">
        <v>457</v>
      </c>
      <c r="K231" s="8" t="s">
        <v>457</v>
      </c>
      <c r="L231" s="8" t="s">
        <v>457</v>
      </c>
    </row>
    <row r="232" spans="2:12" ht="39">
      <c r="B232" s="18" t="s">
        <v>253</v>
      </c>
      <c r="C232" s="6" t="s">
        <v>203</v>
      </c>
      <c r="D232" s="6" t="s">
        <v>294</v>
      </c>
      <c r="E232" s="7">
        <v>315133.48</v>
      </c>
      <c r="F232" s="6">
        <f t="shared" si="13"/>
        <v>315.13299999999998</v>
      </c>
      <c r="G232" s="6">
        <f>0.315133*1000</f>
        <v>315.13299999999998</v>
      </c>
      <c r="H232" s="6">
        <f t="shared" si="14"/>
        <v>233.30199999999996</v>
      </c>
      <c r="I232" s="6">
        <f>0.081831*1000</f>
        <v>81.831000000000003</v>
      </c>
      <c r="J232" s="8" t="s">
        <v>457</v>
      </c>
      <c r="K232" s="8" t="s">
        <v>457</v>
      </c>
      <c r="L232" s="8" t="s">
        <v>457</v>
      </c>
    </row>
    <row r="233" spans="2:12" ht="39">
      <c r="B233" s="18" t="s">
        <v>254</v>
      </c>
      <c r="C233" s="6" t="s">
        <v>203</v>
      </c>
      <c r="D233" s="6" t="s">
        <v>294</v>
      </c>
      <c r="E233" s="7">
        <v>315133.48</v>
      </c>
      <c r="F233" s="6">
        <f t="shared" si="13"/>
        <v>315.13299999999998</v>
      </c>
      <c r="G233" s="6">
        <f>0.315133*1000</f>
        <v>315.13299999999998</v>
      </c>
      <c r="H233" s="6">
        <f t="shared" si="14"/>
        <v>233.30199999999996</v>
      </c>
      <c r="I233" s="6">
        <f>0.081831*1000</f>
        <v>81.831000000000003</v>
      </c>
      <c r="J233" s="8" t="s">
        <v>457</v>
      </c>
      <c r="K233" s="8" t="s">
        <v>457</v>
      </c>
      <c r="L233" s="8" t="s">
        <v>457</v>
      </c>
    </row>
    <row r="234" spans="2:12" ht="26.25">
      <c r="B234" s="18" t="s">
        <v>255</v>
      </c>
      <c r="C234" s="6" t="s">
        <v>203</v>
      </c>
      <c r="D234" s="6" t="s">
        <v>294</v>
      </c>
      <c r="E234" s="7">
        <v>136262.64000000001</v>
      </c>
      <c r="F234" s="6">
        <f t="shared" si="13"/>
        <v>136.262</v>
      </c>
      <c r="G234" s="6">
        <f>0.136262*1000</f>
        <v>136.262</v>
      </c>
      <c r="H234" s="6">
        <f t="shared" si="14"/>
        <v>107.818</v>
      </c>
      <c r="I234" s="6">
        <f>0.028444*1000</f>
        <v>28.443999999999999</v>
      </c>
      <c r="J234" s="8" t="s">
        <v>457</v>
      </c>
      <c r="K234" s="8" t="s">
        <v>457</v>
      </c>
      <c r="L234" s="8" t="s">
        <v>457</v>
      </c>
    </row>
    <row r="235" spans="2:12" ht="26.25">
      <c r="B235" s="18" t="s">
        <v>256</v>
      </c>
      <c r="C235" s="6" t="s">
        <v>203</v>
      </c>
      <c r="D235" s="6" t="s">
        <v>294</v>
      </c>
      <c r="E235" s="7">
        <v>136262.64000000001</v>
      </c>
      <c r="F235" s="6">
        <f t="shared" si="13"/>
        <v>136.262</v>
      </c>
      <c r="G235" s="6">
        <f>0.136262*1000</f>
        <v>136.262</v>
      </c>
      <c r="H235" s="6">
        <f t="shared" si="14"/>
        <v>107.818</v>
      </c>
      <c r="I235" s="6">
        <f>0.028444*1000</f>
        <v>28.443999999999999</v>
      </c>
      <c r="J235" s="8" t="s">
        <v>457</v>
      </c>
      <c r="K235" s="8" t="s">
        <v>457</v>
      </c>
      <c r="L235" s="8" t="s">
        <v>457</v>
      </c>
    </row>
    <row r="236" spans="2:12" ht="26.25">
      <c r="B236" s="18" t="s">
        <v>257</v>
      </c>
      <c r="C236" s="6" t="s">
        <v>203</v>
      </c>
      <c r="D236" s="6" t="s">
        <v>294</v>
      </c>
      <c r="E236" s="7">
        <v>157566.74</v>
      </c>
      <c r="F236" s="6">
        <f t="shared" si="13"/>
        <v>157.566</v>
      </c>
      <c r="G236" s="6">
        <f>0.157566*1000</f>
        <v>157.566</v>
      </c>
      <c r="H236" s="6">
        <f t="shared" si="14"/>
        <v>116.65100000000001</v>
      </c>
      <c r="I236" s="6">
        <f t="shared" ref="I236:I241" si="15">0.040915*1000</f>
        <v>40.914999999999999</v>
      </c>
      <c r="J236" s="8" t="s">
        <v>457</v>
      </c>
      <c r="K236" s="8" t="s">
        <v>457</v>
      </c>
      <c r="L236" s="8" t="s">
        <v>457</v>
      </c>
    </row>
    <row r="237" spans="2:12" ht="26.25">
      <c r="B237" s="18" t="s">
        <v>258</v>
      </c>
      <c r="C237" s="6" t="s">
        <v>203</v>
      </c>
      <c r="D237" s="6" t="s">
        <v>294</v>
      </c>
      <c r="E237" s="7">
        <v>148733.94</v>
      </c>
      <c r="F237" s="6">
        <f t="shared" si="13"/>
        <v>148.733</v>
      </c>
      <c r="G237" s="6">
        <f>0.148733*1000</f>
        <v>148.733</v>
      </c>
      <c r="H237" s="6">
        <f t="shared" si="14"/>
        <v>107.81800000000001</v>
      </c>
      <c r="I237" s="6">
        <f t="shared" si="15"/>
        <v>40.914999999999999</v>
      </c>
      <c r="J237" s="8" t="s">
        <v>457</v>
      </c>
      <c r="K237" s="8" t="s">
        <v>457</v>
      </c>
      <c r="L237" s="8" t="s">
        <v>457</v>
      </c>
    </row>
    <row r="238" spans="2:12" ht="26.25">
      <c r="B238" s="18" t="s">
        <v>259</v>
      </c>
      <c r="C238" s="6" t="s">
        <v>203</v>
      </c>
      <c r="D238" s="6" t="s">
        <v>294</v>
      </c>
      <c r="E238" s="7">
        <v>157566.74</v>
      </c>
      <c r="F238" s="6">
        <f t="shared" si="13"/>
        <v>157.566</v>
      </c>
      <c r="G238" s="6">
        <f>0.157566*1000</f>
        <v>157.566</v>
      </c>
      <c r="H238" s="6">
        <f t="shared" si="14"/>
        <v>116.65100000000001</v>
      </c>
      <c r="I238" s="6">
        <f t="shared" si="15"/>
        <v>40.914999999999999</v>
      </c>
      <c r="J238" s="8" t="s">
        <v>457</v>
      </c>
      <c r="K238" s="8" t="s">
        <v>457</v>
      </c>
      <c r="L238" s="8" t="s">
        <v>457</v>
      </c>
    </row>
    <row r="239" spans="2:12" ht="26.25">
      <c r="B239" s="18" t="s">
        <v>260</v>
      </c>
      <c r="C239" s="6" t="s">
        <v>203</v>
      </c>
      <c r="D239" s="6" t="s">
        <v>294</v>
      </c>
      <c r="E239" s="7">
        <v>148733.94</v>
      </c>
      <c r="F239" s="6">
        <f t="shared" si="13"/>
        <v>148.733</v>
      </c>
      <c r="G239" s="6">
        <f>0.148733*1000</f>
        <v>148.733</v>
      </c>
      <c r="H239" s="6">
        <f t="shared" si="14"/>
        <v>107.81800000000001</v>
      </c>
      <c r="I239" s="6">
        <f t="shared" si="15"/>
        <v>40.914999999999999</v>
      </c>
      <c r="J239" s="8" t="s">
        <v>457</v>
      </c>
      <c r="K239" s="8" t="s">
        <v>457</v>
      </c>
      <c r="L239" s="8" t="s">
        <v>457</v>
      </c>
    </row>
    <row r="240" spans="2:12" ht="26.25">
      <c r="B240" s="18" t="s">
        <v>261</v>
      </c>
      <c r="C240" s="6" t="s">
        <v>203</v>
      </c>
      <c r="D240" s="6" t="s">
        <v>294</v>
      </c>
      <c r="E240" s="7">
        <v>157048.14000000001</v>
      </c>
      <c r="F240" s="6">
        <f t="shared" si="13"/>
        <v>157.566</v>
      </c>
      <c r="G240" s="6">
        <f>0.157566*1000</f>
        <v>157.566</v>
      </c>
      <c r="H240" s="6">
        <f t="shared" si="14"/>
        <v>116.65100000000001</v>
      </c>
      <c r="I240" s="6">
        <f t="shared" si="15"/>
        <v>40.914999999999999</v>
      </c>
      <c r="J240" s="8" t="s">
        <v>457</v>
      </c>
      <c r="K240" s="8" t="s">
        <v>457</v>
      </c>
      <c r="L240" s="8" t="s">
        <v>457</v>
      </c>
    </row>
    <row r="241" spans="2:15" ht="26.25">
      <c r="B241" s="18" t="s">
        <v>262</v>
      </c>
      <c r="C241" s="6" t="s">
        <v>203</v>
      </c>
      <c r="D241" s="6" t="s">
        <v>294</v>
      </c>
      <c r="E241" s="7">
        <v>157566.74</v>
      </c>
      <c r="F241" s="6">
        <f t="shared" si="13"/>
        <v>157.566</v>
      </c>
      <c r="G241" s="6">
        <f>0.157566*1000</f>
        <v>157.566</v>
      </c>
      <c r="H241" s="6">
        <f t="shared" si="14"/>
        <v>116.65100000000001</v>
      </c>
      <c r="I241" s="6">
        <f t="shared" si="15"/>
        <v>40.914999999999999</v>
      </c>
      <c r="J241" s="8" t="s">
        <v>457</v>
      </c>
      <c r="K241" s="8" t="s">
        <v>457</v>
      </c>
      <c r="L241" s="8" t="s">
        <v>457</v>
      </c>
    </row>
    <row r="242" spans="2:15" ht="26.25">
      <c r="B242" s="18" t="s">
        <v>263</v>
      </c>
      <c r="C242" s="6" t="s">
        <v>203</v>
      </c>
      <c r="D242" s="6" t="s">
        <v>294</v>
      </c>
      <c r="E242" s="7">
        <v>125083.35</v>
      </c>
      <c r="F242" s="6">
        <f t="shared" si="13"/>
        <v>125.083</v>
      </c>
      <c r="G242" s="6">
        <f>0.125083*1000</f>
        <v>125.083</v>
      </c>
      <c r="H242" s="6">
        <f t="shared" si="14"/>
        <v>88.444999999999993</v>
      </c>
      <c r="I242" s="6">
        <f>0.036638*1000</f>
        <v>36.637999999999998</v>
      </c>
      <c r="J242" s="8" t="s">
        <v>457</v>
      </c>
      <c r="K242" s="8" t="s">
        <v>457</v>
      </c>
      <c r="L242" s="8" t="s">
        <v>457</v>
      </c>
    </row>
    <row r="243" spans="2:15" ht="26.25">
      <c r="B243" s="18" t="s">
        <v>264</v>
      </c>
      <c r="C243" s="6" t="s">
        <v>203</v>
      </c>
      <c r="D243" s="6" t="s">
        <v>294</v>
      </c>
      <c r="E243" s="7">
        <v>179794.71</v>
      </c>
      <c r="F243" s="6">
        <f t="shared" si="13"/>
        <v>179.79400000000001</v>
      </c>
      <c r="G243" s="6">
        <f>0.179794*1000</f>
        <v>179.79400000000001</v>
      </c>
      <c r="H243" s="6">
        <f t="shared" si="14"/>
        <v>125.48400000000001</v>
      </c>
      <c r="I243" s="6">
        <f>0.05431*1000</f>
        <v>54.309999999999995</v>
      </c>
      <c r="J243" s="8" t="s">
        <v>457</v>
      </c>
      <c r="K243" s="8" t="s">
        <v>457</v>
      </c>
      <c r="L243" s="8" t="s">
        <v>457</v>
      </c>
    </row>
    <row r="244" spans="2:15" ht="26.25">
      <c r="B244" s="18" t="s">
        <v>265</v>
      </c>
      <c r="C244" s="6" t="s">
        <v>203</v>
      </c>
      <c r="D244" s="6" t="s">
        <v>294</v>
      </c>
      <c r="E244" s="7">
        <v>157566.74</v>
      </c>
      <c r="F244" s="6">
        <f t="shared" si="13"/>
        <v>157.566</v>
      </c>
      <c r="G244" s="6">
        <f>0.157566*1000</f>
        <v>157.566</v>
      </c>
      <c r="H244" s="6">
        <f t="shared" si="14"/>
        <v>116.65100000000001</v>
      </c>
      <c r="I244" s="6">
        <f>0.040915*1000</f>
        <v>40.914999999999999</v>
      </c>
      <c r="J244" s="8" t="s">
        <v>457</v>
      </c>
      <c r="K244" s="8" t="s">
        <v>457</v>
      </c>
      <c r="L244" s="8" t="s">
        <v>457</v>
      </c>
    </row>
    <row r="245" spans="2:15" ht="26.25">
      <c r="B245" s="18" t="s">
        <v>266</v>
      </c>
      <c r="C245" s="6" t="s">
        <v>203</v>
      </c>
      <c r="D245" s="6" t="s">
        <v>294</v>
      </c>
      <c r="E245" s="7">
        <v>157048.14000000001</v>
      </c>
      <c r="F245" s="6">
        <f t="shared" si="13"/>
        <v>157.566</v>
      </c>
      <c r="G245" s="6">
        <f>0.157566*1000</f>
        <v>157.566</v>
      </c>
      <c r="H245" s="6">
        <f t="shared" si="14"/>
        <v>116.65100000000001</v>
      </c>
      <c r="I245" s="6">
        <f>0.040915*1000</f>
        <v>40.914999999999999</v>
      </c>
      <c r="J245" s="8" t="s">
        <v>457</v>
      </c>
      <c r="K245" s="8" t="s">
        <v>457</v>
      </c>
      <c r="L245" s="8" t="s">
        <v>457</v>
      </c>
    </row>
    <row r="246" spans="2:15" ht="26.25">
      <c r="B246" s="18" t="s">
        <v>267</v>
      </c>
      <c r="C246" s="6" t="s">
        <v>203</v>
      </c>
      <c r="D246" s="6" t="s">
        <v>294</v>
      </c>
      <c r="E246" s="7">
        <v>157566.74</v>
      </c>
      <c r="F246" s="6">
        <f t="shared" si="13"/>
        <v>157.566</v>
      </c>
      <c r="G246" s="6">
        <f>0.157566*1000</f>
        <v>157.566</v>
      </c>
      <c r="H246" s="6">
        <f t="shared" si="14"/>
        <v>116.65100000000001</v>
      </c>
      <c r="I246" s="6">
        <f>0.040915*1000</f>
        <v>40.914999999999999</v>
      </c>
      <c r="J246" s="8" t="s">
        <v>457</v>
      </c>
      <c r="K246" s="8" t="s">
        <v>457</v>
      </c>
      <c r="L246" s="8" t="s">
        <v>457</v>
      </c>
    </row>
    <row r="247" spans="2:15" ht="26.25">
      <c r="B247" s="18" t="s">
        <v>269</v>
      </c>
      <c r="C247" s="6" t="s">
        <v>203</v>
      </c>
      <c r="D247" s="6" t="s">
        <v>294</v>
      </c>
      <c r="E247" s="7">
        <v>915008.38</v>
      </c>
      <c r="F247" s="6">
        <f t="shared" si="13"/>
        <v>915.00800000000004</v>
      </c>
      <c r="G247" s="6">
        <f>0.915008*1000</f>
        <v>915.00800000000004</v>
      </c>
      <c r="H247" s="6">
        <f t="shared" si="14"/>
        <v>599.57000000000005</v>
      </c>
      <c r="I247" s="6">
        <f>0.315438*1000</f>
        <v>315.43799999999999</v>
      </c>
      <c r="J247" s="8" t="s">
        <v>457</v>
      </c>
      <c r="K247" s="8" t="s">
        <v>457</v>
      </c>
      <c r="L247" s="8" t="s">
        <v>457</v>
      </c>
    </row>
    <row r="248" spans="2:15" ht="26.25">
      <c r="B248" s="18" t="s">
        <v>270</v>
      </c>
      <c r="C248" s="6" t="s">
        <v>203</v>
      </c>
      <c r="D248" s="6" t="s">
        <v>294</v>
      </c>
      <c r="E248" s="7">
        <v>110307.7</v>
      </c>
      <c r="F248" s="6">
        <f t="shared" si="13"/>
        <v>110.307</v>
      </c>
      <c r="G248" s="33">
        <f>0.110307*1000</f>
        <v>110.307</v>
      </c>
      <c r="H248" s="6">
        <f t="shared" si="14"/>
        <v>89.704000000000008</v>
      </c>
      <c r="I248" s="6">
        <f>0.020603*1000</f>
        <v>20.603000000000002</v>
      </c>
      <c r="J248" s="8" t="s">
        <v>457</v>
      </c>
      <c r="K248" s="8" t="s">
        <v>457</v>
      </c>
      <c r="L248" s="8" t="s">
        <v>457</v>
      </c>
    </row>
    <row r="249" spans="2:15" ht="51.75">
      <c r="B249" s="18" t="s">
        <v>271</v>
      </c>
      <c r="C249" s="6" t="s">
        <v>203</v>
      </c>
      <c r="D249" s="6" t="s">
        <v>359</v>
      </c>
      <c r="E249" s="7">
        <v>96281.31</v>
      </c>
      <c r="F249" s="6">
        <f t="shared" si="13"/>
        <v>96.281000000000006</v>
      </c>
      <c r="G249" s="6">
        <f>0.096281*1000</f>
        <v>96.281000000000006</v>
      </c>
      <c r="H249" s="6">
        <f t="shared" si="14"/>
        <v>23.570000000000007</v>
      </c>
      <c r="I249" s="6">
        <f>0.072711*1000</f>
        <v>72.710999999999999</v>
      </c>
      <c r="J249" s="8" t="s">
        <v>457</v>
      </c>
      <c r="K249" s="8" t="s">
        <v>457</v>
      </c>
      <c r="L249" s="8" t="s">
        <v>457</v>
      </c>
    </row>
    <row r="250" spans="2:15" ht="51.75">
      <c r="B250" s="18" t="s">
        <v>272</v>
      </c>
      <c r="C250" s="6" t="s">
        <v>203</v>
      </c>
      <c r="D250" s="6" t="s">
        <v>333</v>
      </c>
      <c r="E250" s="7">
        <v>114996.67</v>
      </c>
      <c r="F250" s="6">
        <f t="shared" si="13"/>
        <v>114.996</v>
      </c>
      <c r="G250" s="6">
        <f>0.114996*1000</f>
        <v>114.996</v>
      </c>
      <c r="H250" s="6">
        <f t="shared" si="14"/>
        <v>85.432999999999993</v>
      </c>
      <c r="I250" s="6">
        <f>0.029563*1000</f>
        <v>29.562999999999999</v>
      </c>
      <c r="J250" s="8" t="s">
        <v>457</v>
      </c>
      <c r="K250" s="8" t="s">
        <v>457</v>
      </c>
      <c r="L250" s="8" t="s">
        <v>457</v>
      </c>
    </row>
    <row r="251" spans="2:15" ht="26.25">
      <c r="B251" s="18" t="s">
        <v>273</v>
      </c>
      <c r="C251" s="6" t="s">
        <v>203</v>
      </c>
      <c r="D251" s="12" t="s">
        <v>294</v>
      </c>
      <c r="E251" s="7">
        <v>71317.83</v>
      </c>
      <c r="F251" s="6">
        <f t="shared" si="13"/>
        <v>71.317000000000007</v>
      </c>
      <c r="G251" s="6">
        <f>0.071317*1000</f>
        <v>71.317000000000007</v>
      </c>
      <c r="H251" s="6">
        <f t="shared" si="14"/>
        <v>70.661000000000001</v>
      </c>
      <c r="I251" s="6">
        <f>0.000656*1000</f>
        <v>0.65600000000000003</v>
      </c>
      <c r="J251" s="8" t="s">
        <v>457</v>
      </c>
      <c r="K251" s="8" t="s">
        <v>457</v>
      </c>
      <c r="L251" s="8" t="s">
        <v>457</v>
      </c>
    </row>
    <row r="252" spans="2:15" ht="26.25">
      <c r="B252" s="18" t="s">
        <v>274</v>
      </c>
      <c r="C252" s="6" t="s">
        <v>203</v>
      </c>
      <c r="D252" s="12" t="s">
        <v>294</v>
      </c>
      <c r="E252" s="7">
        <v>43616.85</v>
      </c>
      <c r="F252" s="6">
        <f t="shared" si="13"/>
        <v>43.616</v>
      </c>
      <c r="G252" s="6">
        <f>0.043616*1000</f>
        <v>43.616</v>
      </c>
      <c r="H252" s="6">
        <f t="shared" si="14"/>
        <v>42.817</v>
      </c>
      <c r="I252" s="6">
        <f>0.000799*1000</f>
        <v>0.79900000000000004</v>
      </c>
      <c r="J252" s="8" t="s">
        <v>457</v>
      </c>
      <c r="K252" s="8" t="s">
        <v>457</v>
      </c>
      <c r="L252" s="8" t="s">
        <v>457</v>
      </c>
    </row>
    <row r="253" spans="2:15" s="11" customFormat="1">
      <c r="B253" s="18" t="s">
        <v>275</v>
      </c>
      <c r="C253" s="12" t="s">
        <v>203</v>
      </c>
      <c r="D253" s="12"/>
      <c r="E253" s="7">
        <v>22228.91</v>
      </c>
      <c r="F253" s="12">
        <f t="shared" si="13"/>
        <v>22.228000000000002</v>
      </c>
      <c r="G253" s="12">
        <f>0.022228*1000</f>
        <v>22.228000000000002</v>
      </c>
      <c r="H253" s="12">
        <f t="shared" si="14"/>
        <v>21.796000000000003</v>
      </c>
      <c r="I253" s="12">
        <f>0.000432*1000</f>
        <v>0.432</v>
      </c>
      <c r="J253" s="49" t="s">
        <v>457</v>
      </c>
      <c r="K253" s="49" t="s">
        <v>457</v>
      </c>
      <c r="L253" s="49" t="s">
        <v>457</v>
      </c>
      <c r="O253" s="1"/>
    </row>
    <row r="254" spans="2:15" s="11" customFormat="1">
      <c r="B254" s="18" t="s">
        <v>276</v>
      </c>
      <c r="C254" s="12" t="s">
        <v>203</v>
      </c>
      <c r="D254" s="12" t="s">
        <v>294</v>
      </c>
      <c r="E254" s="7">
        <v>45254.38</v>
      </c>
      <c r="F254" s="12">
        <f t="shared" si="13"/>
        <v>45.254000000000005</v>
      </c>
      <c r="G254" s="12">
        <f>0.045254*1000</f>
        <v>45.254000000000005</v>
      </c>
      <c r="H254" s="12">
        <f t="shared" si="14"/>
        <v>44.932000000000002</v>
      </c>
      <c r="I254" s="12">
        <f>0.000322*1000</f>
        <v>0.32200000000000001</v>
      </c>
      <c r="J254" s="49" t="s">
        <v>457</v>
      </c>
      <c r="K254" s="49" t="s">
        <v>457</v>
      </c>
      <c r="L254" s="49" t="s">
        <v>457</v>
      </c>
      <c r="O254" s="1"/>
    </row>
    <row r="255" spans="2:15" s="11" customFormat="1" ht="26.25">
      <c r="B255" s="18" t="s">
        <v>277</v>
      </c>
      <c r="C255" s="12" t="s">
        <v>203</v>
      </c>
      <c r="D255" s="12" t="s">
        <v>294</v>
      </c>
      <c r="E255" s="7">
        <v>59957.8</v>
      </c>
      <c r="F255" s="12">
        <f t="shared" si="13"/>
        <v>59.957000000000001</v>
      </c>
      <c r="G255" s="12">
        <f>0.059957*1000</f>
        <v>59.957000000000001</v>
      </c>
      <c r="H255" s="12">
        <f t="shared" si="14"/>
        <v>37.156999999999996</v>
      </c>
      <c r="I255" s="12">
        <f>0.0228*1000</f>
        <v>22.8</v>
      </c>
      <c r="J255" s="49" t="s">
        <v>457</v>
      </c>
      <c r="K255" s="49" t="s">
        <v>457</v>
      </c>
      <c r="L255" s="49" t="s">
        <v>457</v>
      </c>
      <c r="O255" s="1"/>
    </row>
    <row r="256" spans="2:15" ht="26.25">
      <c r="B256" s="18" t="s">
        <v>278</v>
      </c>
      <c r="C256" s="6" t="s">
        <v>203</v>
      </c>
      <c r="D256" s="6" t="s">
        <v>294</v>
      </c>
      <c r="E256" s="7">
        <v>24312.959999999999</v>
      </c>
      <c r="F256" s="6">
        <f t="shared" si="13"/>
        <v>24.946999999999999</v>
      </c>
      <c r="G256" s="6">
        <f>0.024947*1000</f>
        <v>24.946999999999999</v>
      </c>
      <c r="H256" s="6">
        <f t="shared" si="14"/>
        <v>24.690999999999999</v>
      </c>
      <c r="I256" s="6">
        <f>0.000256*1000</f>
        <v>0.25600000000000001</v>
      </c>
      <c r="J256" s="8" t="s">
        <v>457</v>
      </c>
      <c r="K256" s="8" t="s">
        <v>457</v>
      </c>
      <c r="L256" s="8" t="s">
        <v>457</v>
      </c>
    </row>
    <row r="257" spans="2:15" s="11" customFormat="1" ht="26.25">
      <c r="B257" s="18" t="s">
        <v>279</v>
      </c>
      <c r="C257" s="12" t="s">
        <v>203</v>
      </c>
      <c r="D257" s="12" t="s">
        <v>294</v>
      </c>
      <c r="E257" s="7">
        <v>21871.37</v>
      </c>
      <c r="F257" s="6">
        <f t="shared" si="13"/>
        <v>21.871000000000002</v>
      </c>
      <c r="G257" s="12">
        <f>0.021871*1000</f>
        <v>21.871000000000002</v>
      </c>
      <c r="H257" s="6">
        <f t="shared" si="14"/>
        <v>21.784000000000002</v>
      </c>
      <c r="I257" s="12">
        <f>0.000087*1000</f>
        <v>8.6999999999999994E-2</v>
      </c>
      <c r="J257" s="8" t="s">
        <v>457</v>
      </c>
      <c r="K257" s="8" t="s">
        <v>457</v>
      </c>
      <c r="L257" s="8" t="s">
        <v>457</v>
      </c>
      <c r="O257" s="1"/>
    </row>
    <row r="258" spans="2:15" ht="39">
      <c r="B258" s="18" t="s">
        <v>280</v>
      </c>
      <c r="C258" s="6" t="s">
        <v>203</v>
      </c>
      <c r="D258" s="6" t="s">
        <v>294</v>
      </c>
      <c r="E258" s="7">
        <v>99428.66</v>
      </c>
      <c r="F258" s="6">
        <f t="shared" si="13"/>
        <v>99.427999999999997</v>
      </c>
      <c r="G258" s="6">
        <f>0.099428*1000</f>
        <v>99.427999999999997</v>
      </c>
      <c r="H258" s="6">
        <f t="shared" si="14"/>
        <v>84.105999999999995</v>
      </c>
      <c r="I258" s="6">
        <f>0.015322*1000</f>
        <v>15.322000000000001</v>
      </c>
      <c r="J258" s="8" t="s">
        <v>457</v>
      </c>
      <c r="K258" s="8" t="s">
        <v>457</v>
      </c>
      <c r="L258" s="8" t="s">
        <v>457</v>
      </c>
    </row>
    <row r="259" spans="2:15" ht="39">
      <c r="B259" s="18" t="s">
        <v>281</v>
      </c>
      <c r="C259" s="6" t="s">
        <v>203</v>
      </c>
      <c r="D259" s="6" t="s">
        <v>360</v>
      </c>
      <c r="E259" s="7">
        <v>38216.629999999997</v>
      </c>
      <c r="F259" s="6">
        <f t="shared" si="13"/>
        <v>38.216000000000001</v>
      </c>
      <c r="G259" s="6">
        <f>0.038216*1000</f>
        <v>38.216000000000001</v>
      </c>
      <c r="H259" s="6">
        <f t="shared" si="14"/>
        <v>23.131</v>
      </c>
      <c r="I259" s="6">
        <f>0.015085*1000</f>
        <v>15.084999999999999</v>
      </c>
      <c r="J259" s="8" t="s">
        <v>457</v>
      </c>
      <c r="K259" s="8" t="s">
        <v>457</v>
      </c>
      <c r="L259" s="8" t="s">
        <v>457</v>
      </c>
    </row>
    <row r="260" spans="2:15" ht="39">
      <c r="B260" s="18" t="s">
        <v>283</v>
      </c>
      <c r="C260" s="6" t="s">
        <v>203</v>
      </c>
      <c r="D260" s="8" t="s">
        <v>666</v>
      </c>
      <c r="E260" s="7">
        <v>259504.39</v>
      </c>
      <c r="F260" s="6">
        <f t="shared" si="13"/>
        <v>259.50400000000002</v>
      </c>
      <c r="G260" s="6">
        <f>0.259504*1000</f>
        <v>259.50400000000002</v>
      </c>
      <c r="H260" s="6">
        <f t="shared" si="14"/>
        <v>214.71600000000001</v>
      </c>
      <c r="I260" s="6">
        <f>0.044788*1000</f>
        <v>44.788000000000004</v>
      </c>
      <c r="J260" s="8" t="s">
        <v>457</v>
      </c>
      <c r="K260" s="8" t="s">
        <v>457</v>
      </c>
      <c r="L260" s="8" t="s">
        <v>457</v>
      </c>
    </row>
    <row r="261" spans="2:15" ht="39">
      <c r="B261" s="18" t="s">
        <v>284</v>
      </c>
      <c r="C261" s="6" t="s">
        <v>203</v>
      </c>
      <c r="D261" s="8" t="s">
        <v>666</v>
      </c>
      <c r="E261" s="7">
        <v>286067.84999999998</v>
      </c>
      <c r="F261" s="6">
        <f t="shared" si="13"/>
        <v>286.06700000000001</v>
      </c>
      <c r="G261" s="6">
        <f>0.286067*1000</f>
        <v>286.06700000000001</v>
      </c>
      <c r="H261" s="6">
        <f t="shared" si="14"/>
        <v>169.541</v>
      </c>
      <c r="I261" s="6">
        <f>0.116526*1000</f>
        <v>116.52600000000001</v>
      </c>
      <c r="J261" s="8" t="s">
        <v>457</v>
      </c>
      <c r="K261" s="8" t="s">
        <v>457</v>
      </c>
      <c r="L261" s="8" t="s">
        <v>457</v>
      </c>
    </row>
    <row r="262" spans="2:15" ht="51.75">
      <c r="B262" s="18" t="s">
        <v>285</v>
      </c>
      <c r="C262" s="6" t="s">
        <v>203</v>
      </c>
      <c r="D262" s="8" t="s">
        <v>666</v>
      </c>
      <c r="E262" s="7">
        <v>485240.79</v>
      </c>
      <c r="F262" s="6">
        <f t="shared" si="13"/>
        <v>485.24</v>
      </c>
      <c r="G262" s="6">
        <f>0.48524*1000</f>
        <v>485.24</v>
      </c>
      <c r="H262" s="6">
        <f t="shared" si="14"/>
        <v>361.62299999999999</v>
      </c>
      <c r="I262" s="6">
        <f>0.123617*1000</f>
        <v>123.617</v>
      </c>
      <c r="J262" s="8" t="s">
        <v>457</v>
      </c>
      <c r="K262" s="8" t="s">
        <v>457</v>
      </c>
      <c r="L262" s="8" t="s">
        <v>457</v>
      </c>
    </row>
    <row r="263" spans="2:15" ht="18" customHeight="1">
      <c r="B263" s="19" t="s">
        <v>9</v>
      </c>
      <c r="C263" s="20"/>
      <c r="D263" s="20"/>
      <c r="E263" s="24">
        <f>SUM(E7:E262)</f>
        <v>63346815.747110039</v>
      </c>
      <c r="F263" s="24">
        <f>SUM(F7:F262)</f>
        <v>63089.974000000024</v>
      </c>
      <c r="G263" s="24">
        <f>SUM(G7:G262)</f>
        <v>63089.974000000024</v>
      </c>
      <c r="H263" s="24">
        <f>SUM(H7:H262)</f>
        <v>40233.156889999955</v>
      </c>
      <c r="I263" s="24">
        <f>SUM(I7:I262)</f>
        <v>22856.817110000018</v>
      </c>
      <c r="J263" s="20"/>
      <c r="K263" s="20"/>
      <c r="L263" s="20"/>
    </row>
    <row r="266" spans="2:15">
      <c r="B266" s="1" t="s">
        <v>12</v>
      </c>
      <c r="C266" s="21" t="s">
        <v>15</v>
      </c>
      <c r="E266" s="21"/>
    </row>
    <row r="267" spans="2:15">
      <c r="B267" s="3" t="s">
        <v>14</v>
      </c>
      <c r="C267" s="22" t="s">
        <v>668</v>
      </c>
      <c r="D267" s="23" t="s">
        <v>669</v>
      </c>
      <c r="E267" s="23"/>
    </row>
  </sheetData>
  <customSheetViews>
    <customSheetView guid="{32804526-0746-47BD-964F-D9E07D890F54}">
      <pane xSplit="5" ySplit="6" topLeftCell="F259" activePane="bottomRight" state="frozen"/>
      <selection pane="bottomRight" activeCell="E273" sqref="E273"/>
      <pageMargins left="0.7" right="0.7" top="0.75" bottom="0.75" header="0.3" footer="0.3"/>
      <pageSetup paperSize="9" orientation="portrait" r:id="rId1"/>
    </customSheetView>
    <customSheetView guid="{586B0D0F-AFD5-489E-A810-F5CDD42644EC}" showPageBreaks="1" fitToPage="1">
      <pane xSplit="5" ySplit="6" topLeftCell="F7" activePane="bottomRight" state="frozen"/>
      <selection pane="bottomRight" activeCell="B2" sqref="B2:L2"/>
      <pageMargins left="0.31496062992125984" right="0.31496062992125984" top="0.35433070866141736" bottom="0.35433070866141736" header="0.31496062992125984" footer="0.31496062992125984"/>
      <pageSetup paperSize="9" scale="73" fitToHeight="10" orientation="landscape" r:id="rId2"/>
    </customSheetView>
  </customSheetViews>
  <mergeCells count="9">
    <mergeCell ref="B2:L2"/>
    <mergeCell ref="B4:B6"/>
    <mergeCell ref="C4:C6"/>
    <mergeCell ref="D4:D6"/>
    <mergeCell ref="E4:E6"/>
    <mergeCell ref="F5:F6"/>
    <mergeCell ref="G5:I5"/>
    <mergeCell ref="F4:L4"/>
    <mergeCell ref="J5:L5"/>
  </mergeCells>
  <pageMargins left="0.7" right="0.7" top="0.75" bottom="0.75" header="0.3" footer="0.3"/>
  <pageSetup paperSize="9" orientation="portrait" r:id="rId3"/>
  <ignoredErrors>
    <ignoredError sqref="I105 G109 I109 I117 G161 I16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B2:J271"/>
  <sheetViews>
    <sheetView tabSelected="1" workbookViewId="0">
      <pane xSplit="2" ySplit="6" topLeftCell="C256" activePane="bottomRight" state="frozen"/>
      <selection pane="topRight" activeCell="C1" sqref="C1"/>
      <selection pane="bottomLeft" activeCell="A7" sqref="A7"/>
      <selection pane="bottomRight" activeCell="G263" sqref="G263"/>
    </sheetView>
  </sheetViews>
  <sheetFormatPr defaultRowHeight="15.75"/>
  <cols>
    <col min="1" max="1" width="9.140625" style="1"/>
    <col min="2" max="2" width="33.140625" style="1" customWidth="1"/>
    <col min="3" max="3" width="18.85546875" style="4" customWidth="1"/>
    <col min="4" max="4" width="15.85546875" style="1" customWidth="1"/>
    <col min="5" max="5" width="23.140625" style="32" customWidth="1"/>
    <col min="6" max="6" width="22.140625" style="32" customWidth="1"/>
    <col min="7" max="7" width="19.140625" style="1" customWidth="1"/>
    <col min="8" max="8" width="26.5703125" style="1" customWidth="1"/>
    <col min="9" max="9" width="17.85546875" style="1" customWidth="1"/>
    <col min="10" max="10" width="25" style="1" customWidth="1"/>
    <col min="11" max="16384" width="9.140625" style="1"/>
  </cols>
  <sheetData>
    <row r="2" spans="2:10" ht="18.75">
      <c r="B2" s="50" t="s">
        <v>18</v>
      </c>
      <c r="C2" s="50"/>
      <c r="D2" s="50"/>
      <c r="E2" s="50"/>
      <c r="F2" s="50"/>
      <c r="G2" s="50"/>
      <c r="H2" s="50"/>
      <c r="I2" s="50"/>
      <c r="J2" s="50"/>
    </row>
    <row r="3" spans="2:10">
      <c r="E3" s="35"/>
      <c r="F3" s="35"/>
      <c r="G3" s="21"/>
      <c r="H3" s="21"/>
      <c r="I3" s="21"/>
      <c r="J3" s="21"/>
    </row>
    <row r="4" spans="2:10" s="26" customFormat="1" ht="15.75" customHeight="1">
      <c r="E4" s="27"/>
      <c r="F4" s="53"/>
      <c r="G4" s="53"/>
      <c r="H4" s="53"/>
      <c r="I4" s="53"/>
      <c r="J4" s="53"/>
    </row>
    <row r="5" spans="2:10" s="26" customFormat="1" ht="64.5" customHeight="1">
      <c r="B5" s="54" t="s">
        <v>16</v>
      </c>
      <c r="C5" s="54" t="s">
        <v>17</v>
      </c>
      <c r="D5" s="54" t="s">
        <v>286</v>
      </c>
      <c r="E5" s="54" t="s">
        <v>19</v>
      </c>
      <c r="F5" s="54"/>
      <c r="G5" s="54" t="s">
        <v>23</v>
      </c>
      <c r="H5" s="54"/>
      <c r="I5" s="54" t="s">
        <v>25</v>
      </c>
      <c r="J5" s="54"/>
    </row>
    <row r="6" spans="2:10" s="28" customFormat="1" ht="63" customHeight="1">
      <c r="B6" s="54"/>
      <c r="C6" s="54"/>
      <c r="D6" s="54"/>
      <c r="E6" s="34" t="s">
        <v>20</v>
      </c>
      <c r="F6" s="34" t="s">
        <v>21</v>
      </c>
      <c r="G6" s="34" t="s">
        <v>20</v>
      </c>
      <c r="H6" s="34" t="s">
        <v>22</v>
      </c>
      <c r="I6" s="34" t="s">
        <v>20</v>
      </c>
      <c r="J6" s="34" t="s">
        <v>24</v>
      </c>
    </row>
    <row r="7" spans="2:10" s="11" customFormat="1">
      <c r="B7" s="18" t="s">
        <v>27</v>
      </c>
      <c r="C7" s="49" t="s">
        <v>282</v>
      </c>
      <c r="D7" s="7">
        <v>48706.42</v>
      </c>
      <c r="E7" s="12" t="s">
        <v>460</v>
      </c>
      <c r="F7" s="12">
        <f>0.0712*1000</f>
        <v>71.2</v>
      </c>
      <c r="G7" s="12" t="s">
        <v>457</v>
      </c>
      <c r="H7" s="12" t="s">
        <v>457</v>
      </c>
      <c r="I7" s="12" t="s">
        <v>457</v>
      </c>
      <c r="J7" s="12" t="s">
        <v>457</v>
      </c>
    </row>
    <row r="8" spans="2:10" s="11" customFormat="1" ht="26.25">
      <c r="B8" s="18" t="s">
        <v>28</v>
      </c>
      <c r="C8" s="49" t="s">
        <v>282</v>
      </c>
      <c r="D8" s="7">
        <v>69148.7</v>
      </c>
      <c r="E8" s="12" t="s">
        <v>463</v>
      </c>
      <c r="F8" s="12">
        <f>0.095674*1000</f>
        <v>95.673999999999992</v>
      </c>
      <c r="G8" s="12" t="s">
        <v>457</v>
      </c>
      <c r="H8" s="12" t="s">
        <v>457</v>
      </c>
      <c r="I8" s="12" t="s">
        <v>457</v>
      </c>
      <c r="J8" s="12" t="s">
        <v>457</v>
      </c>
    </row>
    <row r="9" spans="2:10" s="11" customFormat="1">
      <c r="B9" s="18" t="s">
        <v>29</v>
      </c>
      <c r="C9" s="49" t="s">
        <v>282</v>
      </c>
      <c r="D9" s="7">
        <v>69148.7</v>
      </c>
      <c r="E9" s="12" t="s">
        <v>458</v>
      </c>
      <c r="F9" s="12">
        <f>0.095674*1000</f>
        <v>95.673999999999992</v>
      </c>
      <c r="G9" s="12" t="s">
        <v>457</v>
      </c>
      <c r="H9" s="12" t="s">
        <v>457</v>
      </c>
      <c r="I9" s="12" t="s">
        <v>457</v>
      </c>
      <c r="J9" s="12" t="s">
        <v>457</v>
      </c>
    </row>
    <row r="10" spans="2:10" s="11" customFormat="1">
      <c r="B10" s="18" t="s">
        <v>30</v>
      </c>
      <c r="C10" s="49" t="s">
        <v>282</v>
      </c>
      <c r="D10" s="7">
        <v>69148.7</v>
      </c>
      <c r="E10" s="12" t="s">
        <v>459</v>
      </c>
      <c r="F10" s="12">
        <f>0.095674*1000</f>
        <v>95.673999999999992</v>
      </c>
      <c r="G10" s="12" t="s">
        <v>457</v>
      </c>
      <c r="H10" s="12" t="s">
        <v>457</v>
      </c>
      <c r="I10" s="12" t="s">
        <v>457</v>
      </c>
      <c r="J10" s="12" t="s">
        <v>457</v>
      </c>
    </row>
    <row r="11" spans="2:10" s="11" customFormat="1">
      <c r="B11" s="18" t="s">
        <v>31</v>
      </c>
      <c r="C11" s="49" t="s">
        <v>282</v>
      </c>
      <c r="D11" s="7">
        <v>69152.89</v>
      </c>
      <c r="E11" s="12" t="s">
        <v>464</v>
      </c>
      <c r="F11" s="12">
        <f>0.095727*1000</f>
        <v>95.727000000000004</v>
      </c>
      <c r="G11" s="12" t="s">
        <v>457</v>
      </c>
      <c r="H11" s="12" t="s">
        <v>457</v>
      </c>
      <c r="I11" s="12" t="s">
        <v>457</v>
      </c>
      <c r="J11" s="12" t="s">
        <v>457</v>
      </c>
    </row>
    <row r="12" spans="2:10" s="11" customFormat="1" ht="26.25">
      <c r="B12" s="18" t="s">
        <v>32</v>
      </c>
      <c r="C12" s="49" t="s">
        <v>282</v>
      </c>
      <c r="D12" s="7">
        <v>49863.53</v>
      </c>
      <c r="E12" s="12" t="s">
        <v>461</v>
      </c>
      <c r="F12" s="12">
        <f>0.069901*1000</f>
        <v>69.90100000000001</v>
      </c>
      <c r="G12" s="12" t="s">
        <v>457</v>
      </c>
      <c r="H12" s="12" t="s">
        <v>457</v>
      </c>
      <c r="I12" s="12" t="s">
        <v>457</v>
      </c>
      <c r="J12" s="12" t="s">
        <v>457</v>
      </c>
    </row>
    <row r="13" spans="2:10" s="11" customFormat="1">
      <c r="B13" s="18" t="s">
        <v>33</v>
      </c>
      <c r="C13" s="49" t="s">
        <v>282</v>
      </c>
      <c r="D13" s="7">
        <v>69148.7</v>
      </c>
      <c r="E13" s="12" t="s">
        <v>465</v>
      </c>
      <c r="F13" s="12">
        <f>0.095674*1000</f>
        <v>95.673999999999992</v>
      </c>
      <c r="G13" s="12" t="s">
        <v>457</v>
      </c>
      <c r="H13" s="12" t="s">
        <v>457</v>
      </c>
      <c r="I13" s="12" t="s">
        <v>457</v>
      </c>
      <c r="J13" s="12" t="s">
        <v>457</v>
      </c>
    </row>
    <row r="14" spans="2:10" s="11" customFormat="1">
      <c r="B14" s="18" t="s">
        <v>34</v>
      </c>
      <c r="C14" s="49" t="s">
        <v>282</v>
      </c>
      <c r="D14" s="7">
        <v>86720.78</v>
      </c>
      <c r="E14" s="12" t="s">
        <v>462</v>
      </c>
      <c r="F14" s="12">
        <f>0.118267*1000</f>
        <v>118.267</v>
      </c>
      <c r="G14" s="12" t="s">
        <v>457</v>
      </c>
      <c r="H14" s="12" t="s">
        <v>457</v>
      </c>
      <c r="I14" s="12" t="s">
        <v>457</v>
      </c>
      <c r="J14" s="12" t="s">
        <v>457</v>
      </c>
    </row>
    <row r="15" spans="2:10" s="11" customFormat="1" ht="25.5">
      <c r="B15" s="48" t="s">
        <v>35</v>
      </c>
      <c r="C15" s="49" t="s">
        <v>282</v>
      </c>
      <c r="D15" s="9">
        <v>72800.960000000006</v>
      </c>
      <c r="E15" s="12" t="s">
        <v>466</v>
      </c>
      <c r="F15" s="12">
        <f>0.0728*1000</f>
        <v>72.8</v>
      </c>
      <c r="G15" s="12" t="s">
        <v>457</v>
      </c>
      <c r="H15" s="12" t="s">
        <v>457</v>
      </c>
      <c r="I15" s="12" t="s">
        <v>457</v>
      </c>
      <c r="J15" s="12" t="s">
        <v>457</v>
      </c>
    </row>
    <row r="16" spans="2:10" s="11" customFormat="1" ht="25.5">
      <c r="B16" s="48" t="s">
        <v>36</v>
      </c>
      <c r="C16" s="49" t="s">
        <v>282</v>
      </c>
      <c r="D16" s="7">
        <v>51923.38</v>
      </c>
      <c r="E16" s="12" t="s">
        <v>467</v>
      </c>
      <c r="F16" s="12">
        <f>0.051923*1000</f>
        <v>51.922999999999995</v>
      </c>
      <c r="G16" s="12" t="s">
        <v>457</v>
      </c>
      <c r="H16" s="12" t="s">
        <v>457</v>
      </c>
      <c r="I16" s="12" t="s">
        <v>457</v>
      </c>
      <c r="J16" s="12" t="s">
        <v>457</v>
      </c>
    </row>
    <row r="17" spans="2:10" s="11" customFormat="1" ht="25.5">
      <c r="B17" s="48" t="s">
        <v>37</v>
      </c>
      <c r="C17" s="49" t="s">
        <v>282</v>
      </c>
      <c r="D17" s="7">
        <v>63771.32</v>
      </c>
      <c r="E17" s="12" t="s">
        <v>468</v>
      </c>
      <c r="F17" s="12">
        <f>0.063771*1000</f>
        <v>63.770999999999994</v>
      </c>
      <c r="G17" s="12" t="s">
        <v>457</v>
      </c>
      <c r="H17" s="12" t="s">
        <v>457</v>
      </c>
      <c r="I17" s="12" t="s">
        <v>457</v>
      </c>
      <c r="J17" s="12" t="s">
        <v>457</v>
      </c>
    </row>
    <row r="18" spans="2:10" s="11" customFormat="1" ht="25.5">
      <c r="B18" s="48" t="s">
        <v>38</v>
      </c>
      <c r="C18" s="49" t="s">
        <v>282</v>
      </c>
      <c r="D18" s="7">
        <v>62159.81</v>
      </c>
      <c r="E18" s="12" t="s">
        <v>405</v>
      </c>
      <c r="F18" s="12">
        <f>0.051308*1000</f>
        <v>51.308</v>
      </c>
      <c r="G18" s="12" t="s">
        <v>457</v>
      </c>
      <c r="H18" s="12" t="s">
        <v>457</v>
      </c>
      <c r="I18" s="12" t="s">
        <v>457</v>
      </c>
      <c r="J18" s="12" t="s">
        <v>457</v>
      </c>
    </row>
    <row r="19" spans="2:10" s="11" customFormat="1" ht="25.5">
      <c r="B19" s="48" t="s">
        <v>39</v>
      </c>
      <c r="C19" s="49" t="s">
        <v>282</v>
      </c>
      <c r="D19" s="10">
        <v>75516.2</v>
      </c>
      <c r="E19" s="12" t="s">
        <v>469</v>
      </c>
      <c r="F19" s="12">
        <f>0.075516*1000</f>
        <v>75.516000000000005</v>
      </c>
      <c r="G19" s="12" t="s">
        <v>457</v>
      </c>
      <c r="H19" s="12" t="s">
        <v>457</v>
      </c>
      <c r="I19" s="12" t="s">
        <v>457</v>
      </c>
      <c r="J19" s="12" t="s">
        <v>457</v>
      </c>
    </row>
    <row r="20" spans="2:10" s="11" customFormat="1" ht="25.5">
      <c r="B20" s="48" t="s">
        <v>40</v>
      </c>
      <c r="C20" s="49" t="s">
        <v>282</v>
      </c>
      <c r="D20" s="10">
        <v>160788.31</v>
      </c>
      <c r="E20" s="12" t="s">
        <v>470</v>
      </c>
      <c r="F20" s="12">
        <f>0.160788*1000</f>
        <v>160.78799999999998</v>
      </c>
      <c r="G20" s="12" t="s">
        <v>457</v>
      </c>
      <c r="H20" s="12" t="s">
        <v>457</v>
      </c>
      <c r="I20" s="12" t="s">
        <v>457</v>
      </c>
      <c r="J20" s="12" t="s">
        <v>457</v>
      </c>
    </row>
    <row r="21" spans="2:10" s="11" customFormat="1" ht="25.5">
      <c r="B21" s="48" t="s">
        <v>41</v>
      </c>
      <c r="C21" s="49" t="s">
        <v>282</v>
      </c>
      <c r="D21" s="7">
        <v>171592.65</v>
      </c>
      <c r="E21" s="12" t="s">
        <v>515</v>
      </c>
      <c r="F21" s="12">
        <f>0.171592*1000</f>
        <v>171.59199999999998</v>
      </c>
      <c r="G21" s="12" t="s">
        <v>457</v>
      </c>
      <c r="H21" s="12" t="s">
        <v>457</v>
      </c>
      <c r="I21" s="12" t="s">
        <v>457</v>
      </c>
      <c r="J21" s="12" t="s">
        <v>457</v>
      </c>
    </row>
    <row r="22" spans="2:10" s="11" customFormat="1" ht="38.25">
      <c r="B22" s="48" t="s">
        <v>42</v>
      </c>
      <c r="C22" s="49" t="s">
        <v>282</v>
      </c>
      <c r="D22" s="7">
        <v>128179.55</v>
      </c>
      <c r="E22" s="12" t="s">
        <v>406</v>
      </c>
      <c r="F22" s="12">
        <f>0.081855*1000</f>
        <v>81.855000000000004</v>
      </c>
      <c r="G22" s="12" t="s">
        <v>457</v>
      </c>
      <c r="H22" s="12" t="s">
        <v>457</v>
      </c>
      <c r="I22" s="12" t="s">
        <v>457</v>
      </c>
      <c r="J22" s="12" t="s">
        <v>457</v>
      </c>
    </row>
    <row r="23" spans="2:10" s="11" customFormat="1" ht="25.5">
      <c r="B23" s="48" t="s">
        <v>43</v>
      </c>
      <c r="C23" s="49" t="s">
        <v>282</v>
      </c>
      <c r="D23" s="7">
        <v>126572.15</v>
      </c>
      <c r="E23" s="12" t="s">
        <v>471</v>
      </c>
      <c r="F23" s="12">
        <f>0.126572*1000</f>
        <v>126.57199999999999</v>
      </c>
      <c r="G23" s="12" t="s">
        <v>457</v>
      </c>
      <c r="H23" s="12" t="s">
        <v>457</v>
      </c>
      <c r="I23" s="12" t="s">
        <v>457</v>
      </c>
      <c r="J23" s="12" t="s">
        <v>457</v>
      </c>
    </row>
    <row r="24" spans="2:10" s="11" customFormat="1" ht="25.5">
      <c r="B24" s="48" t="s">
        <v>44</v>
      </c>
      <c r="C24" s="49" t="s">
        <v>282</v>
      </c>
      <c r="D24" s="10">
        <v>183851.44</v>
      </c>
      <c r="E24" s="12" t="s">
        <v>516</v>
      </c>
      <c r="F24" s="12">
        <f>0.183851*1000</f>
        <v>183.851</v>
      </c>
      <c r="G24" s="12" t="s">
        <v>457</v>
      </c>
      <c r="H24" s="12" t="s">
        <v>457</v>
      </c>
      <c r="I24" s="12" t="s">
        <v>457</v>
      </c>
      <c r="J24" s="12" t="s">
        <v>457</v>
      </c>
    </row>
    <row r="25" spans="2:10" s="11" customFormat="1" ht="25.5">
      <c r="B25" s="48" t="s">
        <v>45</v>
      </c>
      <c r="C25" s="49" t="s">
        <v>282</v>
      </c>
      <c r="D25" s="7">
        <v>193197.97</v>
      </c>
      <c r="E25" s="12" t="s">
        <v>472</v>
      </c>
      <c r="F25" s="12">
        <f>0.193197*1000</f>
        <v>193.197</v>
      </c>
      <c r="G25" s="12" t="s">
        <v>457</v>
      </c>
      <c r="H25" s="12" t="s">
        <v>457</v>
      </c>
      <c r="I25" s="12" t="s">
        <v>457</v>
      </c>
      <c r="J25" s="12" t="s">
        <v>457</v>
      </c>
    </row>
    <row r="26" spans="2:10" s="11" customFormat="1" ht="25.5">
      <c r="B26" s="48" t="s">
        <v>46</v>
      </c>
      <c r="C26" s="49" t="s">
        <v>282</v>
      </c>
      <c r="D26" s="7">
        <v>45843.45</v>
      </c>
      <c r="E26" s="12" t="s">
        <v>473</v>
      </c>
      <c r="F26" s="12">
        <f>0.045843*1000</f>
        <v>45.843000000000004</v>
      </c>
      <c r="G26" s="12" t="s">
        <v>457</v>
      </c>
      <c r="H26" s="12" t="s">
        <v>457</v>
      </c>
      <c r="I26" s="12" t="s">
        <v>457</v>
      </c>
      <c r="J26" s="12" t="s">
        <v>457</v>
      </c>
    </row>
    <row r="27" spans="2:10" s="11" customFormat="1" ht="25.5">
      <c r="B27" s="48" t="s">
        <v>47</v>
      </c>
      <c r="C27" s="49" t="s">
        <v>282</v>
      </c>
      <c r="D27" s="10">
        <v>47105.79</v>
      </c>
      <c r="E27" s="12" t="s">
        <v>474</v>
      </c>
      <c r="F27" s="12">
        <f>0.047105*1000</f>
        <v>47.105000000000004</v>
      </c>
      <c r="G27" s="12" t="s">
        <v>457</v>
      </c>
      <c r="H27" s="12" t="s">
        <v>457</v>
      </c>
      <c r="I27" s="12" t="s">
        <v>457</v>
      </c>
      <c r="J27" s="12" t="s">
        <v>457</v>
      </c>
    </row>
    <row r="28" spans="2:10" s="11" customFormat="1" ht="25.5">
      <c r="B28" s="48" t="s">
        <v>48</v>
      </c>
      <c r="C28" s="49" t="s">
        <v>282</v>
      </c>
      <c r="D28" s="10">
        <v>123164.95</v>
      </c>
      <c r="E28" s="12" t="s">
        <v>475</v>
      </c>
      <c r="F28" s="12">
        <f>0.123164*1000</f>
        <v>123.164</v>
      </c>
      <c r="G28" s="12" t="s">
        <v>457</v>
      </c>
      <c r="H28" s="12" t="s">
        <v>457</v>
      </c>
      <c r="I28" s="12" t="s">
        <v>457</v>
      </c>
      <c r="J28" s="12" t="s">
        <v>457</v>
      </c>
    </row>
    <row r="29" spans="2:10" s="11" customFormat="1" ht="25.5">
      <c r="B29" s="48" t="s">
        <v>49</v>
      </c>
      <c r="C29" s="49" t="s">
        <v>282</v>
      </c>
      <c r="D29" s="10">
        <v>127846.93</v>
      </c>
      <c r="E29" s="12" t="s">
        <v>476</v>
      </c>
      <c r="F29" s="12">
        <f>0.127846*1000</f>
        <v>127.84599999999999</v>
      </c>
      <c r="G29" s="12" t="s">
        <v>457</v>
      </c>
      <c r="H29" s="12" t="s">
        <v>457</v>
      </c>
      <c r="I29" s="12" t="s">
        <v>457</v>
      </c>
      <c r="J29" s="12" t="s">
        <v>457</v>
      </c>
    </row>
    <row r="30" spans="2:10" s="11" customFormat="1" ht="25.5">
      <c r="B30" s="48" t="s">
        <v>50</v>
      </c>
      <c r="C30" s="49" t="s">
        <v>282</v>
      </c>
      <c r="D30" s="10">
        <v>169206.51</v>
      </c>
      <c r="E30" s="12" t="s">
        <v>407</v>
      </c>
      <c r="F30" s="12">
        <f>0.126097*1000</f>
        <v>126.09699999999998</v>
      </c>
      <c r="G30" s="12" t="s">
        <v>457</v>
      </c>
      <c r="H30" s="12" t="s">
        <v>457</v>
      </c>
      <c r="I30" s="12" t="s">
        <v>457</v>
      </c>
      <c r="J30" s="12" t="s">
        <v>457</v>
      </c>
    </row>
    <row r="31" spans="2:10" s="11" customFormat="1" ht="25.5">
      <c r="B31" s="48" t="s">
        <v>51</v>
      </c>
      <c r="C31" s="49" t="s">
        <v>282</v>
      </c>
      <c r="D31" s="7">
        <v>53880.24</v>
      </c>
      <c r="E31" s="12" t="s">
        <v>477</v>
      </c>
      <c r="F31" s="12">
        <f>0.05388*1000</f>
        <v>53.879999999999995</v>
      </c>
      <c r="G31" s="12" t="s">
        <v>457</v>
      </c>
      <c r="H31" s="12" t="s">
        <v>457</v>
      </c>
      <c r="I31" s="12" t="s">
        <v>457</v>
      </c>
      <c r="J31" s="12" t="s">
        <v>457</v>
      </c>
    </row>
    <row r="32" spans="2:10" s="11" customFormat="1" ht="25.5">
      <c r="B32" s="48" t="s">
        <v>52</v>
      </c>
      <c r="C32" s="49" t="s">
        <v>282</v>
      </c>
      <c r="D32" s="10">
        <v>269517.62</v>
      </c>
      <c r="E32" s="12" t="s">
        <v>517</v>
      </c>
      <c r="F32" s="12">
        <f>0.269521*1000</f>
        <v>269.52100000000002</v>
      </c>
      <c r="G32" s="12" t="s">
        <v>457</v>
      </c>
      <c r="H32" s="12" t="s">
        <v>457</v>
      </c>
      <c r="I32" s="12" t="s">
        <v>457</v>
      </c>
      <c r="J32" s="12" t="s">
        <v>457</v>
      </c>
    </row>
    <row r="33" spans="2:10" s="11" customFormat="1" ht="25.5">
      <c r="B33" s="48" t="s">
        <v>53</v>
      </c>
      <c r="C33" s="49" t="s">
        <v>282</v>
      </c>
      <c r="D33" s="10">
        <v>261882.15</v>
      </c>
      <c r="E33" s="12" t="s">
        <v>518</v>
      </c>
      <c r="F33" s="12">
        <f>0.261986*1000</f>
        <v>261.98599999999999</v>
      </c>
      <c r="G33" s="12" t="s">
        <v>457</v>
      </c>
      <c r="H33" s="12" t="s">
        <v>457</v>
      </c>
      <c r="I33" s="12" t="s">
        <v>457</v>
      </c>
      <c r="J33" s="12" t="s">
        <v>457</v>
      </c>
    </row>
    <row r="34" spans="2:10" s="11" customFormat="1" ht="25.5">
      <c r="B34" s="48" t="s">
        <v>54</v>
      </c>
      <c r="C34" s="49" t="s">
        <v>282</v>
      </c>
      <c r="D34" s="10">
        <v>82072.81</v>
      </c>
      <c r="E34" s="12"/>
      <c r="F34" s="12"/>
      <c r="G34" s="12" t="s">
        <v>457</v>
      </c>
      <c r="H34" s="12" t="s">
        <v>457</v>
      </c>
      <c r="I34" s="12" t="s">
        <v>457</v>
      </c>
      <c r="J34" s="12" t="s">
        <v>457</v>
      </c>
    </row>
    <row r="35" spans="2:10" s="11" customFormat="1" ht="25.5">
      <c r="B35" s="48" t="s">
        <v>55</v>
      </c>
      <c r="C35" s="49" t="s">
        <v>282</v>
      </c>
      <c r="D35" s="7">
        <v>68031.25</v>
      </c>
      <c r="E35" s="12" t="s">
        <v>496</v>
      </c>
      <c r="F35" s="12">
        <f>0.068031*1000</f>
        <v>68.030999999999992</v>
      </c>
      <c r="G35" s="12" t="s">
        <v>457</v>
      </c>
      <c r="H35" s="12" t="s">
        <v>457</v>
      </c>
      <c r="I35" s="12" t="s">
        <v>457</v>
      </c>
      <c r="J35" s="12" t="s">
        <v>457</v>
      </c>
    </row>
    <row r="36" spans="2:10" s="11" customFormat="1">
      <c r="B36" s="48" t="s">
        <v>56</v>
      </c>
      <c r="C36" s="49" t="s">
        <v>282</v>
      </c>
      <c r="D36" s="10">
        <v>65913.38</v>
      </c>
      <c r="E36" s="12" t="s">
        <v>408</v>
      </c>
      <c r="F36" s="12">
        <f>0.054138*1000</f>
        <v>54.137999999999998</v>
      </c>
      <c r="G36" s="12" t="s">
        <v>457</v>
      </c>
      <c r="H36" s="12" t="s">
        <v>457</v>
      </c>
      <c r="I36" s="12" t="s">
        <v>457</v>
      </c>
      <c r="J36" s="12" t="s">
        <v>457</v>
      </c>
    </row>
    <row r="37" spans="2:10" s="11" customFormat="1" ht="25.5">
      <c r="B37" s="48" t="s">
        <v>57</v>
      </c>
      <c r="C37" s="49" t="s">
        <v>282</v>
      </c>
      <c r="D37" s="10">
        <v>300487.15999999997</v>
      </c>
      <c r="E37" s="12" t="s">
        <v>478</v>
      </c>
      <c r="F37" s="12">
        <f>0.300487*1000</f>
        <v>300.48700000000002</v>
      </c>
      <c r="G37" s="12" t="s">
        <v>457</v>
      </c>
      <c r="H37" s="12" t="s">
        <v>457</v>
      </c>
      <c r="I37" s="12" t="s">
        <v>457</v>
      </c>
      <c r="J37" s="12" t="s">
        <v>457</v>
      </c>
    </row>
    <row r="38" spans="2:10" s="11" customFormat="1" ht="25.5">
      <c r="B38" s="48" t="s">
        <v>58</v>
      </c>
      <c r="C38" s="49" t="s">
        <v>282</v>
      </c>
      <c r="D38" s="7">
        <v>50986.79</v>
      </c>
      <c r="E38" s="12" t="s">
        <v>479</v>
      </c>
      <c r="F38" s="12">
        <f>0.050986*1000</f>
        <v>50.985999999999997</v>
      </c>
      <c r="G38" s="12" t="s">
        <v>457</v>
      </c>
      <c r="H38" s="12" t="s">
        <v>457</v>
      </c>
      <c r="I38" s="12" t="s">
        <v>457</v>
      </c>
      <c r="J38" s="12" t="s">
        <v>457</v>
      </c>
    </row>
    <row r="39" spans="2:10" s="11" customFormat="1" ht="25.5">
      <c r="B39" s="48" t="s">
        <v>59</v>
      </c>
      <c r="C39" s="49" t="s">
        <v>282</v>
      </c>
      <c r="D39" s="10">
        <v>76861.710000000006</v>
      </c>
      <c r="E39" s="12" t="s">
        <v>480</v>
      </c>
      <c r="F39" s="12">
        <f>0.076861*1000</f>
        <v>76.861000000000004</v>
      </c>
      <c r="G39" s="12" t="s">
        <v>457</v>
      </c>
      <c r="H39" s="12" t="s">
        <v>457</v>
      </c>
      <c r="I39" s="12" t="s">
        <v>457</v>
      </c>
      <c r="J39" s="12" t="s">
        <v>457</v>
      </c>
    </row>
    <row r="40" spans="2:10" s="11" customFormat="1" ht="25.5">
      <c r="B40" s="48" t="s">
        <v>60</v>
      </c>
      <c r="C40" s="49" t="s">
        <v>282</v>
      </c>
      <c r="D40" s="10">
        <v>88853.22</v>
      </c>
      <c r="E40" s="12" t="s">
        <v>481</v>
      </c>
      <c r="F40" s="12">
        <f>0.088853*1000</f>
        <v>88.852999999999994</v>
      </c>
      <c r="G40" s="12" t="s">
        <v>457</v>
      </c>
      <c r="H40" s="12" t="s">
        <v>457</v>
      </c>
      <c r="I40" s="12" t="s">
        <v>457</v>
      </c>
      <c r="J40" s="12" t="s">
        <v>457</v>
      </c>
    </row>
    <row r="41" spans="2:10" s="11" customFormat="1" ht="25.5">
      <c r="B41" s="48" t="s">
        <v>61</v>
      </c>
      <c r="C41" s="49" t="s">
        <v>282</v>
      </c>
      <c r="D41" s="10">
        <v>58570.33</v>
      </c>
      <c r="E41" s="12" t="s">
        <v>482</v>
      </c>
      <c r="F41" s="12">
        <f>0.05857*1000</f>
        <v>58.57</v>
      </c>
      <c r="G41" s="12" t="s">
        <v>457</v>
      </c>
      <c r="H41" s="12" t="s">
        <v>457</v>
      </c>
      <c r="I41" s="12" t="s">
        <v>457</v>
      </c>
      <c r="J41" s="12" t="s">
        <v>457</v>
      </c>
    </row>
    <row r="42" spans="2:10" s="11" customFormat="1" ht="25.5">
      <c r="B42" s="48" t="s">
        <v>62</v>
      </c>
      <c r="C42" s="49" t="s">
        <v>282</v>
      </c>
      <c r="D42" s="7">
        <v>58071.11</v>
      </c>
      <c r="E42" s="12" t="s">
        <v>409</v>
      </c>
      <c r="F42" s="12">
        <f>0.052637*1000</f>
        <v>52.637</v>
      </c>
      <c r="G42" s="12" t="s">
        <v>457</v>
      </c>
      <c r="H42" s="12" t="s">
        <v>457</v>
      </c>
      <c r="I42" s="12" t="s">
        <v>457</v>
      </c>
      <c r="J42" s="12" t="s">
        <v>457</v>
      </c>
    </row>
    <row r="43" spans="2:10" s="11" customFormat="1" ht="25.5">
      <c r="B43" s="48" t="s">
        <v>63</v>
      </c>
      <c r="C43" s="49" t="s">
        <v>282</v>
      </c>
      <c r="D43" s="10">
        <v>183235</v>
      </c>
      <c r="E43" s="12" t="s">
        <v>483</v>
      </c>
      <c r="F43" s="12">
        <f>0.183235*1000</f>
        <v>183.23500000000001</v>
      </c>
      <c r="G43" s="12" t="s">
        <v>457</v>
      </c>
      <c r="H43" s="12" t="s">
        <v>457</v>
      </c>
      <c r="I43" s="12" t="s">
        <v>457</v>
      </c>
      <c r="J43" s="12" t="s">
        <v>457</v>
      </c>
    </row>
    <row r="44" spans="2:10" s="11" customFormat="1" ht="25.5">
      <c r="B44" s="48" t="s">
        <v>64</v>
      </c>
      <c r="C44" s="49" t="s">
        <v>282</v>
      </c>
      <c r="D44" s="10">
        <v>44413.46</v>
      </c>
      <c r="E44" s="12" t="s">
        <v>484</v>
      </c>
      <c r="F44" s="12">
        <f>0.044413*1000</f>
        <v>44.413000000000004</v>
      </c>
      <c r="G44" s="12" t="s">
        <v>457</v>
      </c>
      <c r="H44" s="12" t="s">
        <v>457</v>
      </c>
      <c r="I44" s="12" t="s">
        <v>457</v>
      </c>
      <c r="J44" s="12" t="s">
        <v>457</v>
      </c>
    </row>
    <row r="45" spans="2:10" s="11" customFormat="1" ht="25.5">
      <c r="B45" s="48" t="s">
        <v>65</v>
      </c>
      <c r="C45" s="49" t="s">
        <v>282</v>
      </c>
      <c r="D45" s="7">
        <v>72213.38</v>
      </c>
      <c r="E45" s="12" t="s">
        <v>410</v>
      </c>
      <c r="F45" s="12">
        <f>0.062681*1000</f>
        <v>62.680999999999997</v>
      </c>
      <c r="G45" s="12" t="s">
        <v>457</v>
      </c>
      <c r="H45" s="12" t="s">
        <v>457</v>
      </c>
      <c r="I45" s="12" t="s">
        <v>457</v>
      </c>
      <c r="J45" s="12" t="s">
        <v>457</v>
      </c>
    </row>
    <row r="46" spans="2:10" s="11" customFormat="1" ht="25.5">
      <c r="B46" s="48" t="s">
        <v>66</v>
      </c>
      <c r="C46" s="49" t="s">
        <v>282</v>
      </c>
      <c r="D46" s="7">
        <v>65118.14</v>
      </c>
      <c r="E46" s="12" t="s">
        <v>387</v>
      </c>
      <c r="F46" s="12">
        <f>0.060536*1000</f>
        <v>60.536000000000001</v>
      </c>
      <c r="G46" s="12" t="s">
        <v>457</v>
      </c>
      <c r="H46" s="12" t="s">
        <v>457</v>
      </c>
      <c r="I46" s="12" t="s">
        <v>457</v>
      </c>
      <c r="J46" s="12" t="s">
        <v>457</v>
      </c>
    </row>
    <row r="47" spans="2:10" s="11" customFormat="1" ht="38.25">
      <c r="B47" s="48" t="s">
        <v>67</v>
      </c>
      <c r="C47" s="49" t="s">
        <v>282</v>
      </c>
      <c r="D47" s="10">
        <v>227277.6</v>
      </c>
      <c r="E47" s="12" t="s">
        <v>411</v>
      </c>
      <c r="F47" s="12">
        <f>0.187471*1000</f>
        <v>187.471</v>
      </c>
      <c r="G47" s="12" t="s">
        <v>457</v>
      </c>
      <c r="H47" s="12" t="s">
        <v>457</v>
      </c>
      <c r="I47" s="12" t="s">
        <v>457</v>
      </c>
      <c r="J47" s="12" t="s">
        <v>457</v>
      </c>
    </row>
    <row r="48" spans="2:10" s="11" customFormat="1" ht="25.5">
      <c r="B48" s="48" t="s">
        <v>68</v>
      </c>
      <c r="C48" s="49" t="s">
        <v>282</v>
      </c>
      <c r="D48" s="10">
        <v>96729.23</v>
      </c>
      <c r="E48" s="12" t="s">
        <v>397</v>
      </c>
      <c r="F48" s="12">
        <f>0.096729*1000</f>
        <v>96.728999999999999</v>
      </c>
      <c r="G48" s="12" t="s">
        <v>457</v>
      </c>
      <c r="H48" s="12" t="s">
        <v>457</v>
      </c>
      <c r="I48" s="12" t="s">
        <v>457</v>
      </c>
      <c r="J48" s="12" t="s">
        <v>457</v>
      </c>
    </row>
    <row r="49" spans="2:10" s="11" customFormat="1">
      <c r="B49" s="48" t="s">
        <v>69</v>
      </c>
      <c r="C49" s="49" t="s">
        <v>282</v>
      </c>
      <c r="D49" s="10">
        <v>77550.81</v>
      </c>
      <c r="E49" s="12" t="s">
        <v>412</v>
      </c>
      <c r="F49" s="12">
        <f>0.074605*1000</f>
        <v>74.605000000000004</v>
      </c>
      <c r="G49" s="12" t="s">
        <v>457</v>
      </c>
      <c r="H49" s="12" t="s">
        <v>457</v>
      </c>
      <c r="I49" s="12" t="s">
        <v>457</v>
      </c>
      <c r="J49" s="12" t="s">
        <v>457</v>
      </c>
    </row>
    <row r="50" spans="2:10" s="11" customFormat="1" ht="25.5">
      <c r="B50" s="48" t="s">
        <v>70</v>
      </c>
      <c r="C50" s="49" t="s">
        <v>282</v>
      </c>
      <c r="D50" s="10">
        <v>30754.76</v>
      </c>
      <c r="E50" s="12" t="s">
        <v>395</v>
      </c>
      <c r="F50" s="12">
        <f>0.030754*1000</f>
        <v>30.754000000000001</v>
      </c>
      <c r="G50" s="12" t="s">
        <v>457</v>
      </c>
      <c r="H50" s="12" t="s">
        <v>457</v>
      </c>
      <c r="I50" s="12" t="s">
        <v>457</v>
      </c>
      <c r="J50" s="12" t="s">
        <v>457</v>
      </c>
    </row>
    <row r="51" spans="2:10" s="11" customFormat="1" ht="25.5">
      <c r="B51" s="48" t="s">
        <v>71</v>
      </c>
      <c r="C51" s="49" t="s">
        <v>282</v>
      </c>
      <c r="D51" s="10">
        <v>303937.48</v>
      </c>
      <c r="E51" s="12" t="s">
        <v>413</v>
      </c>
      <c r="F51" s="12">
        <f>0.303937*1000</f>
        <v>303.93700000000001</v>
      </c>
      <c r="G51" s="12" t="s">
        <v>457</v>
      </c>
      <c r="H51" s="12" t="s">
        <v>457</v>
      </c>
      <c r="I51" s="12" t="s">
        <v>457</v>
      </c>
      <c r="J51" s="12" t="s">
        <v>457</v>
      </c>
    </row>
    <row r="52" spans="2:10" s="11" customFormat="1" ht="25.5">
      <c r="B52" s="48" t="s">
        <v>72</v>
      </c>
      <c r="C52" s="49" t="s">
        <v>282</v>
      </c>
      <c r="D52" s="10">
        <v>57510.25</v>
      </c>
      <c r="E52" s="12" t="s">
        <v>414</v>
      </c>
      <c r="F52" s="12">
        <f>0.05751*1000</f>
        <v>57.51</v>
      </c>
      <c r="G52" s="12" t="s">
        <v>457</v>
      </c>
      <c r="H52" s="12" t="s">
        <v>457</v>
      </c>
      <c r="I52" s="12" t="s">
        <v>457</v>
      </c>
      <c r="J52" s="12" t="s">
        <v>457</v>
      </c>
    </row>
    <row r="53" spans="2:10" s="11" customFormat="1" ht="25.5">
      <c r="B53" s="48" t="s">
        <v>73</v>
      </c>
      <c r="C53" s="49" t="s">
        <v>282</v>
      </c>
      <c r="D53" s="10">
        <v>41266.42</v>
      </c>
      <c r="E53" s="12" t="s">
        <v>485</v>
      </c>
      <c r="F53" s="12">
        <f>0.041266*1000</f>
        <v>41.265999999999998</v>
      </c>
      <c r="G53" s="12" t="s">
        <v>457</v>
      </c>
      <c r="H53" s="12" t="s">
        <v>457</v>
      </c>
      <c r="I53" s="12" t="s">
        <v>457</v>
      </c>
      <c r="J53" s="12" t="s">
        <v>457</v>
      </c>
    </row>
    <row r="54" spans="2:10" s="11" customFormat="1" ht="25.5">
      <c r="B54" s="48" t="s">
        <v>74</v>
      </c>
      <c r="C54" s="49" t="s">
        <v>282</v>
      </c>
      <c r="D54" s="10">
        <v>173159.35</v>
      </c>
      <c r="E54" s="12" t="s">
        <v>537</v>
      </c>
      <c r="F54" s="12">
        <f>0.173159*1000</f>
        <v>173.15900000000002</v>
      </c>
      <c r="G54" s="12" t="s">
        <v>457</v>
      </c>
      <c r="H54" s="12" t="s">
        <v>457</v>
      </c>
      <c r="I54" s="12" t="s">
        <v>457</v>
      </c>
      <c r="J54" s="12" t="s">
        <v>457</v>
      </c>
    </row>
    <row r="55" spans="2:10" s="11" customFormat="1" ht="25.5">
      <c r="B55" s="48" t="s">
        <v>75</v>
      </c>
      <c r="C55" s="49" t="s">
        <v>282</v>
      </c>
      <c r="D55" s="10">
        <v>250246.93</v>
      </c>
      <c r="E55" s="12" t="s">
        <v>512</v>
      </c>
      <c r="F55" s="12">
        <f>0.250251*1000</f>
        <v>250.251</v>
      </c>
      <c r="G55" s="12" t="s">
        <v>457</v>
      </c>
      <c r="H55" s="12" t="s">
        <v>457</v>
      </c>
      <c r="I55" s="12" t="s">
        <v>457</v>
      </c>
      <c r="J55" s="12" t="s">
        <v>457</v>
      </c>
    </row>
    <row r="56" spans="2:10" s="11" customFormat="1" ht="25.5">
      <c r="B56" s="48" t="s">
        <v>76</v>
      </c>
      <c r="C56" s="49" t="s">
        <v>282</v>
      </c>
      <c r="D56" s="10">
        <v>247429.52</v>
      </c>
      <c r="E56" s="12" t="s">
        <v>415</v>
      </c>
      <c r="F56" s="12">
        <f>0.247429*1000</f>
        <v>247.429</v>
      </c>
      <c r="G56" s="12" t="s">
        <v>457</v>
      </c>
      <c r="H56" s="12" t="s">
        <v>457</v>
      </c>
      <c r="I56" s="12" t="s">
        <v>457</v>
      </c>
      <c r="J56" s="12" t="s">
        <v>457</v>
      </c>
    </row>
    <row r="57" spans="2:10" s="11" customFormat="1">
      <c r="B57" s="48" t="s">
        <v>77</v>
      </c>
      <c r="C57" s="49" t="s">
        <v>282</v>
      </c>
      <c r="D57" s="10">
        <v>83090.179999999993</v>
      </c>
      <c r="E57" s="12" t="s">
        <v>416</v>
      </c>
      <c r="F57" s="12">
        <f>0.08309*1000</f>
        <v>83.09</v>
      </c>
      <c r="G57" s="12" t="s">
        <v>457</v>
      </c>
      <c r="H57" s="12" t="s">
        <v>457</v>
      </c>
      <c r="I57" s="12" t="s">
        <v>457</v>
      </c>
      <c r="J57" s="12" t="s">
        <v>457</v>
      </c>
    </row>
    <row r="58" spans="2:10" s="11" customFormat="1" ht="25.5">
      <c r="B58" s="48" t="s">
        <v>78</v>
      </c>
      <c r="C58" s="49" t="s">
        <v>282</v>
      </c>
      <c r="D58" s="10">
        <v>112468.22</v>
      </c>
      <c r="E58" s="12" t="s">
        <v>417</v>
      </c>
      <c r="F58" s="12">
        <f>0.112468*1000</f>
        <v>112.468</v>
      </c>
      <c r="G58" s="12" t="s">
        <v>457</v>
      </c>
      <c r="H58" s="12" t="s">
        <v>457</v>
      </c>
      <c r="I58" s="12" t="s">
        <v>457</v>
      </c>
      <c r="J58" s="12" t="s">
        <v>457</v>
      </c>
    </row>
    <row r="59" spans="2:10" s="11" customFormat="1" ht="25.5">
      <c r="B59" s="48" t="s">
        <v>79</v>
      </c>
      <c r="C59" s="49" t="s">
        <v>282</v>
      </c>
      <c r="D59" s="7">
        <v>196016.51</v>
      </c>
      <c r="E59" s="12" t="s">
        <v>418</v>
      </c>
      <c r="F59" s="12">
        <f>0.196016*1000</f>
        <v>196.01599999999999</v>
      </c>
      <c r="G59" s="12" t="s">
        <v>457</v>
      </c>
      <c r="H59" s="12" t="s">
        <v>457</v>
      </c>
      <c r="I59" s="12" t="s">
        <v>457</v>
      </c>
      <c r="J59" s="12" t="s">
        <v>457</v>
      </c>
    </row>
    <row r="60" spans="2:10" s="11" customFormat="1" ht="25.5">
      <c r="B60" s="48" t="s">
        <v>80</v>
      </c>
      <c r="C60" s="49" t="s">
        <v>282</v>
      </c>
      <c r="D60" s="10">
        <v>163395.75</v>
      </c>
      <c r="E60" s="12" t="s">
        <v>511</v>
      </c>
      <c r="F60" s="12">
        <f>0.163398*1000</f>
        <v>163.398</v>
      </c>
      <c r="G60" s="12" t="s">
        <v>457</v>
      </c>
      <c r="H60" s="12" t="s">
        <v>457</v>
      </c>
      <c r="I60" s="12" t="s">
        <v>457</v>
      </c>
      <c r="J60" s="12" t="s">
        <v>457</v>
      </c>
    </row>
    <row r="61" spans="2:10" s="11" customFormat="1" ht="25.5">
      <c r="B61" s="48" t="s">
        <v>81</v>
      </c>
      <c r="C61" s="49" t="s">
        <v>282</v>
      </c>
      <c r="D61" s="10">
        <v>196692.62</v>
      </c>
      <c r="E61" s="12" t="s">
        <v>419</v>
      </c>
      <c r="F61" s="12">
        <f>0.196692*1000</f>
        <v>196.69200000000001</v>
      </c>
      <c r="G61" s="12" t="s">
        <v>457</v>
      </c>
      <c r="H61" s="12" t="s">
        <v>457</v>
      </c>
      <c r="I61" s="12" t="s">
        <v>457</v>
      </c>
      <c r="J61" s="12" t="s">
        <v>457</v>
      </c>
    </row>
    <row r="62" spans="2:10" s="11" customFormat="1" ht="25.5">
      <c r="B62" s="48" t="s">
        <v>82</v>
      </c>
      <c r="C62" s="49" t="s">
        <v>282</v>
      </c>
      <c r="D62" s="10">
        <v>176375.1</v>
      </c>
      <c r="E62" s="12" t="s">
        <v>538</v>
      </c>
      <c r="F62" s="12">
        <f>0.176375*1000</f>
        <v>176.375</v>
      </c>
      <c r="G62" s="12" t="s">
        <v>457</v>
      </c>
      <c r="H62" s="12" t="s">
        <v>457</v>
      </c>
      <c r="I62" s="12" t="s">
        <v>457</v>
      </c>
      <c r="J62" s="12" t="s">
        <v>457</v>
      </c>
    </row>
    <row r="63" spans="2:10" s="11" customFormat="1" ht="38.25">
      <c r="B63" s="48" t="s">
        <v>83</v>
      </c>
      <c r="C63" s="49" t="s">
        <v>282</v>
      </c>
      <c r="D63" s="10">
        <v>213404.44</v>
      </c>
      <c r="E63" s="12" t="s">
        <v>420</v>
      </c>
      <c r="F63" s="12">
        <f>0.213404*1000</f>
        <v>213.404</v>
      </c>
      <c r="G63" s="12" t="s">
        <v>457</v>
      </c>
      <c r="H63" s="12" t="s">
        <v>457</v>
      </c>
      <c r="I63" s="12" t="s">
        <v>457</v>
      </c>
      <c r="J63" s="12" t="s">
        <v>457</v>
      </c>
    </row>
    <row r="64" spans="2:10" s="11" customFormat="1" ht="25.5">
      <c r="B64" s="48" t="s">
        <v>84</v>
      </c>
      <c r="C64" s="49" t="s">
        <v>282</v>
      </c>
      <c r="D64" s="10">
        <v>58071.11</v>
      </c>
      <c r="E64" s="12" t="s">
        <v>421</v>
      </c>
      <c r="F64" s="12">
        <f>0.058071*1000</f>
        <v>58.070999999999998</v>
      </c>
      <c r="G64" s="12" t="s">
        <v>457</v>
      </c>
      <c r="H64" s="12" t="s">
        <v>457</v>
      </c>
      <c r="I64" s="12" t="s">
        <v>457</v>
      </c>
      <c r="J64" s="12" t="s">
        <v>457</v>
      </c>
    </row>
    <row r="65" spans="2:10" s="11" customFormat="1" ht="25.5">
      <c r="B65" s="48" t="s">
        <v>85</v>
      </c>
      <c r="C65" s="49" t="s">
        <v>282</v>
      </c>
      <c r="D65" s="10">
        <v>99097.87</v>
      </c>
      <c r="E65" s="12" t="s">
        <v>389</v>
      </c>
      <c r="F65" s="12">
        <f>0.061465*1000</f>
        <v>61.464999999999996</v>
      </c>
      <c r="G65" s="12" t="s">
        <v>457</v>
      </c>
      <c r="H65" s="12" t="s">
        <v>457</v>
      </c>
      <c r="I65" s="12" t="s">
        <v>457</v>
      </c>
      <c r="J65" s="12" t="s">
        <v>457</v>
      </c>
    </row>
    <row r="66" spans="2:10" s="11" customFormat="1" ht="25.5">
      <c r="B66" s="48" t="s">
        <v>86</v>
      </c>
      <c r="C66" s="49" t="s">
        <v>282</v>
      </c>
      <c r="D66" s="10">
        <v>274383.27</v>
      </c>
      <c r="E66" s="12" t="s">
        <v>422</v>
      </c>
      <c r="F66" s="12">
        <f>0.274383*1000</f>
        <v>274.38299999999998</v>
      </c>
      <c r="G66" s="12" t="s">
        <v>457</v>
      </c>
      <c r="H66" s="12" t="s">
        <v>457</v>
      </c>
      <c r="I66" s="12" t="s">
        <v>457</v>
      </c>
      <c r="J66" s="12" t="s">
        <v>457</v>
      </c>
    </row>
    <row r="67" spans="2:10" s="11" customFormat="1" ht="25.5">
      <c r="B67" s="48" t="s">
        <v>87</v>
      </c>
      <c r="C67" s="49" t="s">
        <v>282</v>
      </c>
      <c r="D67" s="10">
        <v>65702.03</v>
      </c>
      <c r="E67" s="12" t="s">
        <v>391</v>
      </c>
      <c r="F67" s="12">
        <f>0.066023*1000</f>
        <v>66.022999999999996</v>
      </c>
      <c r="G67" s="12" t="s">
        <v>457</v>
      </c>
      <c r="H67" s="12" t="s">
        <v>457</v>
      </c>
      <c r="I67" s="12" t="s">
        <v>457</v>
      </c>
      <c r="J67" s="12" t="s">
        <v>457</v>
      </c>
    </row>
    <row r="68" spans="2:10" s="11" customFormat="1">
      <c r="B68" s="48" t="s">
        <v>88</v>
      </c>
      <c r="C68" s="49" t="s">
        <v>282</v>
      </c>
      <c r="D68" s="10">
        <v>65337.51</v>
      </c>
      <c r="E68" s="12" t="s">
        <v>423</v>
      </c>
      <c r="F68" s="12">
        <f>0.065337*1000</f>
        <v>65.337000000000003</v>
      </c>
      <c r="G68" s="12" t="s">
        <v>457</v>
      </c>
      <c r="H68" s="12" t="s">
        <v>457</v>
      </c>
      <c r="I68" s="12" t="s">
        <v>457</v>
      </c>
      <c r="J68" s="12" t="s">
        <v>457</v>
      </c>
    </row>
    <row r="69" spans="2:10" s="11" customFormat="1" ht="25.5">
      <c r="B69" s="48" t="s">
        <v>89</v>
      </c>
      <c r="C69" s="49" t="s">
        <v>282</v>
      </c>
      <c r="D69" s="10">
        <v>51222.31</v>
      </c>
      <c r="E69" s="12" t="s">
        <v>486</v>
      </c>
      <c r="F69" s="12">
        <f>0.051222*1000</f>
        <v>51.221999999999994</v>
      </c>
      <c r="G69" s="12" t="s">
        <v>457</v>
      </c>
      <c r="H69" s="12" t="s">
        <v>457</v>
      </c>
      <c r="I69" s="12" t="s">
        <v>457</v>
      </c>
      <c r="J69" s="12" t="s">
        <v>457</v>
      </c>
    </row>
    <row r="70" spans="2:10" s="11" customFormat="1" ht="25.5">
      <c r="B70" s="48" t="s">
        <v>90</v>
      </c>
      <c r="C70" s="49" t="s">
        <v>282</v>
      </c>
      <c r="D70" s="10">
        <v>259095.04000000001</v>
      </c>
      <c r="E70" s="12" t="s">
        <v>539</v>
      </c>
      <c r="F70" s="12">
        <f>0.259095*1000</f>
        <v>259.09500000000003</v>
      </c>
      <c r="G70" s="12" t="s">
        <v>457</v>
      </c>
      <c r="H70" s="12" t="s">
        <v>457</v>
      </c>
      <c r="I70" s="12" t="s">
        <v>457</v>
      </c>
      <c r="J70" s="12" t="s">
        <v>457</v>
      </c>
    </row>
    <row r="71" spans="2:10" s="11" customFormat="1" ht="25.5">
      <c r="B71" s="48" t="s">
        <v>91</v>
      </c>
      <c r="C71" s="49" t="s">
        <v>282</v>
      </c>
      <c r="D71" s="7">
        <v>250972.64</v>
      </c>
      <c r="E71" s="12" t="s">
        <v>540</v>
      </c>
      <c r="F71" s="12">
        <f>0.250972*1000</f>
        <v>250.97199999999998</v>
      </c>
      <c r="G71" s="12" t="s">
        <v>457</v>
      </c>
      <c r="H71" s="12" t="s">
        <v>457</v>
      </c>
      <c r="I71" s="12" t="s">
        <v>457</v>
      </c>
      <c r="J71" s="12" t="s">
        <v>457</v>
      </c>
    </row>
    <row r="72" spans="2:10" s="11" customFormat="1" ht="25.5">
      <c r="B72" s="48" t="s">
        <v>92</v>
      </c>
      <c r="C72" s="49" t="s">
        <v>282</v>
      </c>
      <c r="D72" s="10">
        <v>299633.2</v>
      </c>
      <c r="E72" s="12" t="s">
        <v>424</v>
      </c>
      <c r="F72" s="12">
        <f>0.281998*1000</f>
        <v>281.99800000000005</v>
      </c>
      <c r="G72" s="12" t="s">
        <v>457</v>
      </c>
      <c r="H72" s="12" t="s">
        <v>457</v>
      </c>
      <c r="I72" s="12" t="s">
        <v>457</v>
      </c>
      <c r="J72" s="12" t="s">
        <v>457</v>
      </c>
    </row>
    <row r="73" spans="2:10" s="11" customFormat="1" ht="38.25">
      <c r="B73" s="48" t="s">
        <v>93</v>
      </c>
      <c r="C73" s="49" t="s">
        <v>282</v>
      </c>
      <c r="D73" s="10">
        <v>25772.77</v>
      </c>
      <c r="E73" s="12" t="s">
        <v>393</v>
      </c>
      <c r="F73" s="12">
        <f>0.025731*1000</f>
        <v>25.731000000000002</v>
      </c>
      <c r="G73" s="12" t="s">
        <v>457</v>
      </c>
      <c r="H73" s="12" t="s">
        <v>457</v>
      </c>
      <c r="I73" s="12" t="s">
        <v>457</v>
      </c>
      <c r="J73" s="12" t="s">
        <v>457</v>
      </c>
    </row>
    <row r="74" spans="2:10" s="11" customFormat="1" ht="25.5">
      <c r="B74" s="48" t="s">
        <v>94</v>
      </c>
      <c r="C74" s="49" t="s">
        <v>282</v>
      </c>
      <c r="D74" s="10">
        <v>65620.94</v>
      </c>
      <c r="E74" s="12" t="s">
        <v>390</v>
      </c>
      <c r="F74" s="12">
        <f>0.051422*1000</f>
        <v>51.422000000000004</v>
      </c>
      <c r="G74" s="12" t="s">
        <v>457</v>
      </c>
      <c r="H74" s="12" t="s">
        <v>457</v>
      </c>
      <c r="I74" s="12" t="s">
        <v>457</v>
      </c>
      <c r="J74" s="12" t="s">
        <v>457</v>
      </c>
    </row>
    <row r="75" spans="2:10" s="11" customFormat="1" ht="25.5">
      <c r="B75" s="48" t="s">
        <v>95</v>
      </c>
      <c r="C75" s="49" t="s">
        <v>282</v>
      </c>
      <c r="D75" s="10">
        <v>296724.34000000003</v>
      </c>
      <c r="E75" s="12" t="s">
        <v>425</v>
      </c>
      <c r="F75" s="12">
        <f>0.296724*1000</f>
        <v>296.72399999999999</v>
      </c>
      <c r="G75" s="12" t="s">
        <v>457</v>
      </c>
      <c r="H75" s="12" t="s">
        <v>457</v>
      </c>
      <c r="I75" s="12" t="s">
        <v>457</v>
      </c>
      <c r="J75" s="12" t="s">
        <v>457</v>
      </c>
    </row>
    <row r="76" spans="2:10" s="11" customFormat="1" ht="25.5">
      <c r="B76" s="48" t="s">
        <v>96</v>
      </c>
      <c r="C76" s="49" t="s">
        <v>282</v>
      </c>
      <c r="D76" s="10">
        <v>244185.54</v>
      </c>
      <c r="E76" s="12" t="s">
        <v>513</v>
      </c>
      <c r="F76" s="12">
        <f>0.244185*1000</f>
        <v>244.185</v>
      </c>
      <c r="G76" s="12" t="s">
        <v>457</v>
      </c>
      <c r="H76" s="12" t="s">
        <v>457</v>
      </c>
      <c r="I76" s="12" t="s">
        <v>457</v>
      </c>
      <c r="J76" s="12" t="s">
        <v>457</v>
      </c>
    </row>
    <row r="77" spans="2:10" s="11" customFormat="1" ht="25.5">
      <c r="B77" s="48" t="s">
        <v>97</v>
      </c>
      <c r="C77" s="49" t="s">
        <v>282</v>
      </c>
      <c r="D77" s="10">
        <v>124838.44</v>
      </c>
      <c r="E77" s="12" t="s">
        <v>426</v>
      </c>
      <c r="F77" s="12">
        <f>0.124838*1000</f>
        <v>124.83800000000001</v>
      </c>
      <c r="G77" s="12" t="s">
        <v>457</v>
      </c>
      <c r="H77" s="12" t="s">
        <v>457</v>
      </c>
      <c r="I77" s="12" t="s">
        <v>457</v>
      </c>
      <c r="J77" s="12" t="s">
        <v>457</v>
      </c>
    </row>
    <row r="78" spans="2:10" s="11" customFormat="1" ht="25.5">
      <c r="B78" s="48" t="s">
        <v>98</v>
      </c>
      <c r="C78" s="49" t="s">
        <v>282</v>
      </c>
      <c r="D78" s="10">
        <v>244036.15</v>
      </c>
      <c r="E78" s="12" t="s">
        <v>514</v>
      </c>
      <c r="F78" s="12">
        <f>0.244049*1000</f>
        <v>244.04899999999998</v>
      </c>
      <c r="G78" s="12" t="s">
        <v>457</v>
      </c>
      <c r="H78" s="12" t="s">
        <v>457</v>
      </c>
      <c r="I78" s="12" t="s">
        <v>457</v>
      </c>
      <c r="J78" s="12" t="s">
        <v>457</v>
      </c>
    </row>
    <row r="79" spans="2:10" s="11" customFormat="1" ht="25.5">
      <c r="B79" s="48" t="s">
        <v>99</v>
      </c>
      <c r="C79" s="49" t="s">
        <v>282</v>
      </c>
      <c r="D79" s="10">
        <v>242180.17</v>
      </c>
      <c r="E79" s="12" t="s">
        <v>541</v>
      </c>
      <c r="F79" s="12">
        <f>0.24218*1000</f>
        <v>242.18</v>
      </c>
      <c r="G79" s="12" t="s">
        <v>457</v>
      </c>
      <c r="H79" s="12" t="s">
        <v>457</v>
      </c>
      <c r="I79" s="12" t="s">
        <v>457</v>
      </c>
      <c r="J79" s="12" t="s">
        <v>457</v>
      </c>
    </row>
    <row r="80" spans="2:10" s="11" customFormat="1" ht="25.5">
      <c r="B80" s="48" t="s">
        <v>100</v>
      </c>
      <c r="C80" s="49" t="s">
        <v>282</v>
      </c>
      <c r="D80" s="10">
        <v>244036.15</v>
      </c>
      <c r="E80" s="12" t="s">
        <v>510</v>
      </c>
      <c r="F80" s="12">
        <f>0.244047*1000</f>
        <v>244.047</v>
      </c>
      <c r="G80" s="12" t="s">
        <v>457</v>
      </c>
      <c r="H80" s="12" t="s">
        <v>457</v>
      </c>
      <c r="I80" s="12" t="s">
        <v>457</v>
      </c>
      <c r="J80" s="12" t="s">
        <v>457</v>
      </c>
    </row>
    <row r="81" spans="2:10" s="11" customFormat="1" ht="38.25">
      <c r="B81" s="48" t="s">
        <v>101</v>
      </c>
      <c r="C81" s="49" t="s">
        <v>282</v>
      </c>
      <c r="D81" s="10">
        <v>169206.51</v>
      </c>
      <c r="E81" s="12" t="s">
        <v>427</v>
      </c>
      <c r="F81" s="12">
        <f>0.169206*1000</f>
        <v>169.20599999999999</v>
      </c>
      <c r="G81" s="12" t="s">
        <v>457</v>
      </c>
      <c r="H81" s="12" t="s">
        <v>457</v>
      </c>
      <c r="I81" s="12" t="s">
        <v>457</v>
      </c>
      <c r="J81" s="12" t="s">
        <v>457</v>
      </c>
    </row>
    <row r="82" spans="2:10" s="11" customFormat="1" ht="25.5">
      <c r="B82" s="48" t="s">
        <v>102</v>
      </c>
      <c r="C82" s="49" t="s">
        <v>282</v>
      </c>
      <c r="D82" s="10">
        <v>119141.63</v>
      </c>
      <c r="E82" s="12" t="s">
        <v>394</v>
      </c>
      <c r="F82" s="12">
        <f>0.096897*1000</f>
        <v>96.896999999999991</v>
      </c>
      <c r="G82" s="12" t="s">
        <v>457</v>
      </c>
      <c r="H82" s="12" t="s">
        <v>457</v>
      </c>
      <c r="I82" s="12" t="s">
        <v>457</v>
      </c>
      <c r="J82" s="12" t="s">
        <v>457</v>
      </c>
    </row>
    <row r="83" spans="2:10" s="11" customFormat="1" ht="38.25">
      <c r="B83" s="48" t="s">
        <v>103</v>
      </c>
      <c r="C83" s="49" t="s">
        <v>282</v>
      </c>
      <c r="D83" s="10">
        <v>55701.48</v>
      </c>
      <c r="E83" s="12" t="s">
        <v>396</v>
      </c>
      <c r="F83" s="12">
        <f>0.042924*1000</f>
        <v>42.923999999999999</v>
      </c>
      <c r="G83" s="12" t="s">
        <v>457</v>
      </c>
      <c r="H83" s="12" t="s">
        <v>457</v>
      </c>
      <c r="I83" s="12" t="s">
        <v>457</v>
      </c>
      <c r="J83" s="12" t="s">
        <v>457</v>
      </c>
    </row>
    <row r="84" spans="2:10" s="11" customFormat="1" ht="25.5">
      <c r="B84" s="48" t="s">
        <v>104</v>
      </c>
      <c r="C84" s="49" t="s">
        <v>282</v>
      </c>
      <c r="D84" s="10">
        <v>40138.199999999997</v>
      </c>
      <c r="E84" s="12" t="s">
        <v>380</v>
      </c>
      <c r="F84" s="12">
        <f>0.042307*1000</f>
        <v>42.306999999999995</v>
      </c>
      <c r="G84" s="12" t="s">
        <v>457</v>
      </c>
      <c r="H84" s="12" t="s">
        <v>457</v>
      </c>
      <c r="I84" s="12" t="s">
        <v>457</v>
      </c>
      <c r="J84" s="12" t="s">
        <v>457</v>
      </c>
    </row>
    <row r="85" spans="2:10" s="11" customFormat="1" ht="25.5">
      <c r="B85" s="48" t="s">
        <v>105</v>
      </c>
      <c r="C85" s="49" t="s">
        <v>282</v>
      </c>
      <c r="D85" s="7">
        <v>83823.77</v>
      </c>
      <c r="E85" s="12" t="s">
        <v>392</v>
      </c>
      <c r="F85" s="12">
        <f>0.077969*1000</f>
        <v>77.968999999999994</v>
      </c>
      <c r="G85" s="12" t="s">
        <v>457</v>
      </c>
      <c r="H85" s="12" t="s">
        <v>457</v>
      </c>
      <c r="I85" s="12" t="s">
        <v>457</v>
      </c>
      <c r="J85" s="12" t="s">
        <v>457</v>
      </c>
    </row>
    <row r="86" spans="2:10" s="11" customFormat="1" ht="25.5">
      <c r="B86" s="48" t="s">
        <v>106</v>
      </c>
      <c r="C86" s="49" t="s">
        <v>282</v>
      </c>
      <c r="D86" s="10">
        <v>21900.69</v>
      </c>
      <c r="E86" s="12" t="s">
        <v>386</v>
      </c>
      <c r="F86" s="12">
        <f>0.016353*1000</f>
        <v>16.352999999999998</v>
      </c>
      <c r="G86" s="12" t="s">
        <v>457</v>
      </c>
      <c r="H86" s="12" t="s">
        <v>457</v>
      </c>
      <c r="I86" s="12" t="s">
        <v>457</v>
      </c>
      <c r="J86" s="12" t="s">
        <v>457</v>
      </c>
    </row>
    <row r="87" spans="2:10" s="11" customFormat="1" ht="25.5">
      <c r="B87" s="48" t="s">
        <v>107</v>
      </c>
      <c r="C87" s="49" t="s">
        <v>282</v>
      </c>
      <c r="D87" s="10">
        <v>21900.69</v>
      </c>
      <c r="E87" s="12" t="s">
        <v>383</v>
      </c>
      <c r="F87" s="12">
        <f>0.021899*1000</f>
        <v>21.898999999999997</v>
      </c>
      <c r="G87" s="12" t="s">
        <v>457</v>
      </c>
      <c r="H87" s="12" t="s">
        <v>457</v>
      </c>
      <c r="I87" s="12" t="s">
        <v>457</v>
      </c>
      <c r="J87" s="12" t="s">
        <v>457</v>
      </c>
    </row>
    <row r="88" spans="2:10" s="11" customFormat="1" ht="25.5">
      <c r="B88" s="48" t="s">
        <v>108</v>
      </c>
      <c r="C88" s="49" t="s">
        <v>282</v>
      </c>
      <c r="D88" s="10">
        <v>25900.2</v>
      </c>
      <c r="E88" s="12" t="s">
        <v>382</v>
      </c>
      <c r="F88" s="12">
        <f>0.024751*1000</f>
        <v>24.750999999999998</v>
      </c>
      <c r="G88" s="12" t="s">
        <v>457</v>
      </c>
      <c r="H88" s="12" t="s">
        <v>457</v>
      </c>
      <c r="I88" s="12" t="s">
        <v>457</v>
      </c>
      <c r="J88" s="12" t="s">
        <v>457</v>
      </c>
    </row>
    <row r="89" spans="2:10" s="11" customFormat="1" ht="25.5">
      <c r="B89" s="48" t="s">
        <v>109</v>
      </c>
      <c r="C89" s="49" t="s">
        <v>282</v>
      </c>
      <c r="D89" s="10">
        <v>293464.64</v>
      </c>
      <c r="E89" s="12" t="s">
        <v>542</v>
      </c>
      <c r="F89" s="12">
        <f>0.293464*1000</f>
        <v>293.464</v>
      </c>
      <c r="G89" s="12" t="s">
        <v>457</v>
      </c>
      <c r="H89" s="12" t="s">
        <v>457</v>
      </c>
      <c r="I89" s="12" t="s">
        <v>457</v>
      </c>
      <c r="J89" s="12" t="s">
        <v>457</v>
      </c>
    </row>
    <row r="90" spans="2:10" s="11" customFormat="1" ht="25.5">
      <c r="B90" s="48" t="s">
        <v>110</v>
      </c>
      <c r="C90" s="49" t="s">
        <v>282</v>
      </c>
      <c r="D90" s="10">
        <v>293464.64</v>
      </c>
      <c r="E90" s="12" t="s">
        <v>543</v>
      </c>
      <c r="F90" s="12">
        <f>0.293464*1000</f>
        <v>293.464</v>
      </c>
      <c r="G90" s="12" t="s">
        <v>457</v>
      </c>
      <c r="H90" s="12" t="s">
        <v>457</v>
      </c>
      <c r="I90" s="12" t="s">
        <v>457</v>
      </c>
      <c r="J90" s="12" t="s">
        <v>457</v>
      </c>
    </row>
    <row r="91" spans="2:10" s="11" customFormat="1" ht="25.5">
      <c r="B91" s="48" t="s">
        <v>111</v>
      </c>
      <c r="C91" s="49" t="s">
        <v>282</v>
      </c>
      <c r="D91" s="10">
        <v>240365.02</v>
      </c>
      <c r="E91" s="12" t="s">
        <v>544</v>
      </c>
      <c r="F91" s="12">
        <f>0.240365*1000</f>
        <v>240.36500000000001</v>
      </c>
      <c r="G91" s="12" t="s">
        <v>457</v>
      </c>
      <c r="H91" s="12" t="s">
        <v>457</v>
      </c>
      <c r="I91" s="12" t="s">
        <v>457</v>
      </c>
      <c r="J91" s="12" t="s">
        <v>457</v>
      </c>
    </row>
    <row r="92" spans="2:10" s="11" customFormat="1" ht="25.5">
      <c r="B92" s="48" t="s">
        <v>112</v>
      </c>
      <c r="C92" s="49" t="s">
        <v>282</v>
      </c>
      <c r="D92" s="10">
        <v>225010.92</v>
      </c>
      <c r="E92" s="12" t="s">
        <v>545</v>
      </c>
      <c r="F92" s="12">
        <f>0.22501*1000</f>
        <v>225.01</v>
      </c>
      <c r="G92" s="12" t="s">
        <v>457</v>
      </c>
      <c r="H92" s="12" t="s">
        <v>457</v>
      </c>
      <c r="I92" s="12" t="s">
        <v>457</v>
      </c>
      <c r="J92" s="12" t="s">
        <v>457</v>
      </c>
    </row>
    <row r="93" spans="2:10" s="11" customFormat="1" ht="25.5">
      <c r="B93" s="48" t="s">
        <v>113</v>
      </c>
      <c r="C93" s="49" t="s">
        <v>282</v>
      </c>
      <c r="D93" s="10">
        <v>195917.64</v>
      </c>
      <c r="E93" s="12" t="s">
        <v>546</v>
      </c>
      <c r="F93" s="12">
        <f>0.195917*1000</f>
        <v>195.917</v>
      </c>
      <c r="G93" s="12" t="s">
        <v>457</v>
      </c>
      <c r="H93" s="12" t="s">
        <v>457</v>
      </c>
      <c r="I93" s="12" t="s">
        <v>457</v>
      </c>
      <c r="J93" s="12" t="s">
        <v>457</v>
      </c>
    </row>
    <row r="94" spans="2:10" s="11" customFormat="1" ht="25.5">
      <c r="B94" s="48" t="s">
        <v>114</v>
      </c>
      <c r="C94" s="49" t="s">
        <v>282</v>
      </c>
      <c r="D94" s="10">
        <v>319636.86</v>
      </c>
      <c r="E94" s="12" t="s">
        <v>547</v>
      </c>
      <c r="F94" s="12">
        <f>0.319636*1000</f>
        <v>319.63599999999997</v>
      </c>
      <c r="G94" s="12" t="s">
        <v>457</v>
      </c>
      <c r="H94" s="12" t="s">
        <v>457</v>
      </c>
      <c r="I94" s="12" t="s">
        <v>457</v>
      </c>
      <c r="J94" s="12" t="s">
        <v>457</v>
      </c>
    </row>
    <row r="95" spans="2:10" s="11" customFormat="1" ht="25.5">
      <c r="B95" s="48" t="s">
        <v>115</v>
      </c>
      <c r="C95" s="49" t="s">
        <v>282</v>
      </c>
      <c r="D95" s="10">
        <v>210617.39</v>
      </c>
      <c r="E95" s="12" t="s">
        <v>548</v>
      </c>
      <c r="F95" s="12">
        <f>0.210617*1000</f>
        <v>210.61699999999999</v>
      </c>
      <c r="G95" s="12" t="s">
        <v>457</v>
      </c>
      <c r="H95" s="12" t="s">
        <v>457</v>
      </c>
      <c r="I95" s="12" t="s">
        <v>457</v>
      </c>
      <c r="J95" s="12" t="s">
        <v>457</v>
      </c>
    </row>
    <row r="96" spans="2:10" s="11" customFormat="1" ht="25.5">
      <c r="B96" s="48" t="s">
        <v>116</v>
      </c>
      <c r="C96" s="49" t="s">
        <v>282</v>
      </c>
      <c r="D96" s="10">
        <v>168353.48</v>
      </c>
      <c r="E96" s="12" t="s">
        <v>549</v>
      </c>
      <c r="F96" s="12">
        <f>0.168353*1000</f>
        <v>168.35300000000001</v>
      </c>
      <c r="G96" s="12" t="s">
        <v>457</v>
      </c>
      <c r="H96" s="12" t="s">
        <v>457</v>
      </c>
      <c r="I96" s="12" t="s">
        <v>457</v>
      </c>
      <c r="J96" s="12" t="s">
        <v>457</v>
      </c>
    </row>
    <row r="97" spans="2:10" s="11" customFormat="1" ht="25.5">
      <c r="B97" s="48" t="s">
        <v>117</v>
      </c>
      <c r="C97" s="49" t="s">
        <v>282</v>
      </c>
      <c r="D97" s="10">
        <v>40434.53</v>
      </c>
      <c r="E97" s="12" t="s">
        <v>385</v>
      </c>
      <c r="F97" s="12">
        <f>0.026796*1000</f>
        <v>26.795999999999999</v>
      </c>
      <c r="G97" s="12" t="s">
        <v>457</v>
      </c>
      <c r="H97" s="12" t="s">
        <v>457</v>
      </c>
      <c r="I97" s="12" t="s">
        <v>457</v>
      </c>
      <c r="J97" s="12" t="s">
        <v>457</v>
      </c>
    </row>
    <row r="98" spans="2:10" s="11" customFormat="1" ht="25.5">
      <c r="B98" s="48" t="s">
        <v>118</v>
      </c>
      <c r="C98" s="49" t="s">
        <v>282</v>
      </c>
      <c r="D98" s="10">
        <v>166425.42000000001</v>
      </c>
      <c r="E98" s="12" t="s">
        <v>550</v>
      </c>
      <c r="F98" s="12">
        <f>0.166425*1000</f>
        <v>166.42499999999998</v>
      </c>
      <c r="G98" s="12" t="s">
        <v>457</v>
      </c>
      <c r="H98" s="12" t="s">
        <v>457</v>
      </c>
      <c r="I98" s="12" t="s">
        <v>457</v>
      </c>
      <c r="J98" s="12" t="s">
        <v>457</v>
      </c>
    </row>
    <row r="99" spans="2:10" s="11" customFormat="1" ht="25.5">
      <c r="B99" s="48" t="s">
        <v>119</v>
      </c>
      <c r="C99" s="49" t="s">
        <v>282</v>
      </c>
      <c r="D99" s="10">
        <v>30988.39</v>
      </c>
      <c r="E99" s="12" t="s">
        <v>384</v>
      </c>
      <c r="F99" s="12">
        <f>0.022896*1000</f>
        <v>22.896000000000001</v>
      </c>
      <c r="G99" s="12" t="s">
        <v>457</v>
      </c>
      <c r="H99" s="12" t="s">
        <v>457</v>
      </c>
      <c r="I99" s="12" t="s">
        <v>457</v>
      </c>
      <c r="J99" s="12" t="s">
        <v>457</v>
      </c>
    </row>
    <row r="100" spans="2:10" s="11" customFormat="1" ht="25.5">
      <c r="B100" s="48" t="s">
        <v>120</v>
      </c>
      <c r="C100" s="49" t="s">
        <v>282</v>
      </c>
      <c r="D100" s="10">
        <v>166425.42000000001</v>
      </c>
      <c r="E100" s="12" t="s">
        <v>551</v>
      </c>
      <c r="F100" s="12">
        <f>0.166425*1000</f>
        <v>166.42499999999998</v>
      </c>
      <c r="G100" s="12" t="s">
        <v>457</v>
      </c>
      <c r="H100" s="12" t="s">
        <v>457</v>
      </c>
      <c r="I100" s="12" t="s">
        <v>457</v>
      </c>
      <c r="J100" s="12" t="s">
        <v>457</v>
      </c>
    </row>
    <row r="101" spans="2:10" s="11" customFormat="1" ht="38.25">
      <c r="B101" s="48" t="s">
        <v>121</v>
      </c>
      <c r="C101" s="49" t="s">
        <v>282</v>
      </c>
      <c r="D101" s="10">
        <v>59392.83</v>
      </c>
      <c r="E101" s="12" t="s">
        <v>381</v>
      </c>
      <c r="F101" s="12">
        <f>0.055094*1000</f>
        <v>55.093999999999994</v>
      </c>
      <c r="G101" s="12" t="s">
        <v>457</v>
      </c>
      <c r="H101" s="12" t="s">
        <v>457</v>
      </c>
      <c r="I101" s="12" t="s">
        <v>457</v>
      </c>
      <c r="J101" s="12" t="s">
        <v>457</v>
      </c>
    </row>
    <row r="102" spans="2:10" s="11" customFormat="1" ht="25.5">
      <c r="B102" s="48" t="s">
        <v>122</v>
      </c>
      <c r="C102" s="49" t="s">
        <v>282</v>
      </c>
      <c r="D102" s="10">
        <v>166199.01</v>
      </c>
      <c r="E102" s="12" t="s">
        <v>428</v>
      </c>
      <c r="F102" s="12">
        <f>0.166199*1000</f>
        <v>166.19900000000001</v>
      </c>
      <c r="G102" s="12" t="s">
        <v>457</v>
      </c>
      <c r="H102" s="12" t="s">
        <v>457</v>
      </c>
      <c r="I102" s="12" t="s">
        <v>457</v>
      </c>
      <c r="J102" s="12" t="s">
        <v>457</v>
      </c>
    </row>
    <row r="103" spans="2:10" s="11" customFormat="1" ht="25.5">
      <c r="B103" s="48" t="s">
        <v>123</v>
      </c>
      <c r="C103" s="49" t="s">
        <v>282</v>
      </c>
      <c r="D103" s="10">
        <v>160795.44</v>
      </c>
      <c r="E103" s="12" t="s">
        <v>429</v>
      </c>
      <c r="F103" s="12">
        <f>0.160795*1000</f>
        <v>160.79499999999999</v>
      </c>
      <c r="G103" s="12" t="s">
        <v>457</v>
      </c>
      <c r="H103" s="12" t="s">
        <v>457</v>
      </c>
      <c r="I103" s="12" t="s">
        <v>457</v>
      </c>
      <c r="J103" s="12" t="s">
        <v>457</v>
      </c>
    </row>
    <row r="104" spans="2:10" s="11" customFormat="1" ht="25.5">
      <c r="B104" s="48" t="s">
        <v>124</v>
      </c>
      <c r="C104" s="49" t="s">
        <v>282</v>
      </c>
      <c r="D104" s="10">
        <v>160869.07</v>
      </c>
      <c r="E104" s="12" t="s">
        <v>430</v>
      </c>
      <c r="F104" s="12">
        <f>0.160869*1000</f>
        <v>160.869</v>
      </c>
      <c r="G104" s="12" t="s">
        <v>457</v>
      </c>
      <c r="H104" s="12" t="s">
        <v>457</v>
      </c>
      <c r="I104" s="12" t="s">
        <v>457</v>
      </c>
      <c r="J104" s="12" t="s">
        <v>457</v>
      </c>
    </row>
    <row r="105" spans="2:10" s="11" customFormat="1" ht="25.5">
      <c r="B105" s="48" t="s">
        <v>125</v>
      </c>
      <c r="C105" s="49" t="s">
        <v>282</v>
      </c>
      <c r="D105" s="10">
        <v>115978.19</v>
      </c>
      <c r="E105" s="12" t="s">
        <v>431</v>
      </c>
      <c r="F105" s="12">
        <f>0.115978*1000</f>
        <v>115.97799999999999</v>
      </c>
      <c r="G105" s="12" t="s">
        <v>457</v>
      </c>
      <c r="H105" s="12" t="s">
        <v>457</v>
      </c>
      <c r="I105" s="12" t="s">
        <v>457</v>
      </c>
      <c r="J105" s="12" t="s">
        <v>457</v>
      </c>
    </row>
    <row r="106" spans="2:10" s="11" customFormat="1">
      <c r="B106" s="48" t="s">
        <v>126</v>
      </c>
      <c r="C106" s="49" t="s">
        <v>282</v>
      </c>
      <c r="D106" s="10">
        <v>164693.16</v>
      </c>
      <c r="E106" s="12" t="s">
        <v>432</v>
      </c>
      <c r="F106" s="12">
        <f>0.164693*1000</f>
        <v>164.69300000000001</v>
      </c>
      <c r="G106" s="12" t="s">
        <v>457</v>
      </c>
      <c r="H106" s="12" t="s">
        <v>457</v>
      </c>
      <c r="I106" s="12" t="s">
        <v>457</v>
      </c>
      <c r="J106" s="12" t="s">
        <v>457</v>
      </c>
    </row>
    <row r="107" spans="2:10" s="11" customFormat="1" ht="25.5">
      <c r="B107" s="48" t="s">
        <v>127</v>
      </c>
      <c r="C107" s="49" t="s">
        <v>282</v>
      </c>
      <c r="D107" s="10">
        <v>160795.44</v>
      </c>
      <c r="E107" s="12" t="s">
        <v>433</v>
      </c>
      <c r="F107" s="12">
        <f>0.160795*1000</f>
        <v>160.79499999999999</v>
      </c>
      <c r="G107" s="12" t="s">
        <v>457</v>
      </c>
      <c r="H107" s="12" t="s">
        <v>457</v>
      </c>
      <c r="I107" s="12" t="s">
        <v>457</v>
      </c>
      <c r="J107" s="12" t="s">
        <v>457</v>
      </c>
    </row>
    <row r="108" spans="2:10" s="11" customFormat="1" ht="25.5">
      <c r="B108" s="48" t="s">
        <v>128</v>
      </c>
      <c r="C108" s="49" t="s">
        <v>282</v>
      </c>
      <c r="D108" s="10">
        <v>76506.399999999994</v>
      </c>
      <c r="E108" s="12" t="s">
        <v>434</v>
      </c>
      <c r="F108" s="12">
        <f>0.076506*1000</f>
        <v>76.506</v>
      </c>
      <c r="G108" s="12" t="s">
        <v>457</v>
      </c>
      <c r="H108" s="12" t="s">
        <v>457</v>
      </c>
      <c r="I108" s="12" t="s">
        <v>457</v>
      </c>
      <c r="J108" s="12" t="s">
        <v>457</v>
      </c>
    </row>
    <row r="109" spans="2:10" s="11" customFormat="1" ht="25.5">
      <c r="B109" s="48" t="s">
        <v>129</v>
      </c>
      <c r="C109" s="49" t="s">
        <v>282</v>
      </c>
      <c r="D109" s="10">
        <v>160920.88</v>
      </c>
      <c r="E109" s="12" t="s">
        <v>435</v>
      </c>
      <c r="F109" s="12">
        <f>0.16092*1000</f>
        <v>160.92000000000002</v>
      </c>
      <c r="G109" s="12" t="s">
        <v>457</v>
      </c>
      <c r="H109" s="12" t="s">
        <v>457</v>
      </c>
      <c r="I109" s="12" t="s">
        <v>457</v>
      </c>
      <c r="J109" s="12" t="s">
        <v>457</v>
      </c>
    </row>
    <row r="110" spans="2:10" s="11" customFormat="1" ht="25.5">
      <c r="B110" s="48" t="s">
        <v>130</v>
      </c>
      <c r="C110" s="49" t="s">
        <v>282</v>
      </c>
      <c r="D110" s="10">
        <v>76506.399999999994</v>
      </c>
      <c r="E110" s="12" t="s">
        <v>436</v>
      </c>
      <c r="F110" s="12">
        <f>0.076506*1000</f>
        <v>76.506</v>
      </c>
      <c r="G110" s="12" t="s">
        <v>457</v>
      </c>
      <c r="H110" s="12" t="s">
        <v>457</v>
      </c>
      <c r="I110" s="12" t="s">
        <v>457</v>
      </c>
      <c r="J110" s="12" t="s">
        <v>457</v>
      </c>
    </row>
    <row r="111" spans="2:10" s="11" customFormat="1">
      <c r="B111" s="48" t="s">
        <v>131</v>
      </c>
      <c r="C111" s="49" t="s">
        <v>282</v>
      </c>
      <c r="D111" s="10">
        <v>165896.93</v>
      </c>
      <c r="E111" s="12" t="s">
        <v>437</v>
      </c>
      <c r="F111" s="12">
        <f>0.165896*1000</f>
        <v>165.89599999999999</v>
      </c>
      <c r="G111" s="12" t="s">
        <v>457</v>
      </c>
      <c r="H111" s="12" t="s">
        <v>457</v>
      </c>
      <c r="I111" s="12" t="s">
        <v>457</v>
      </c>
      <c r="J111" s="12" t="s">
        <v>457</v>
      </c>
    </row>
    <row r="112" spans="2:10" s="11" customFormat="1" ht="38.25">
      <c r="B112" s="48" t="s">
        <v>132</v>
      </c>
      <c r="C112" s="49" t="s">
        <v>282</v>
      </c>
      <c r="D112" s="10">
        <v>200140.51</v>
      </c>
      <c r="E112" s="12" t="s">
        <v>438</v>
      </c>
      <c r="F112" s="12">
        <f>0.20014*1000</f>
        <v>200.14000000000001</v>
      </c>
      <c r="G112" s="12" t="s">
        <v>457</v>
      </c>
      <c r="H112" s="12" t="s">
        <v>457</v>
      </c>
      <c r="I112" s="12" t="s">
        <v>457</v>
      </c>
      <c r="J112" s="12" t="s">
        <v>457</v>
      </c>
    </row>
    <row r="113" spans="2:10" s="11" customFormat="1" ht="38.25">
      <c r="B113" s="48" t="s">
        <v>133</v>
      </c>
      <c r="C113" s="49" t="s">
        <v>282</v>
      </c>
      <c r="D113" s="10">
        <v>128179.55</v>
      </c>
      <c r="E113" s="12" t="s">
        <v>439</v>
      </c>
      <c r="F113" s="12">
        <f>0.128179*1000</f>
        <v>128.17899999999997</v>
      </c>
      <c r="G113" s="12" t="s">
        <v>457</v>
      </c>
      <c r="H113" s="12" t="s">
        <v>457</v>
      </c>
      <c r="I113" s="12" t="s">
        <v>457</v>
      </c>
      <c r="J113" s="12" t="s">
        <v>457</v>
      </c>
    </row>
    <row r="114" spans="2:10" s="11" customFormat="1" ht="38.25">
      <c r="B114" s="48" t="s">
        <v>134</v>
      </c>
      <c r="C114" s="49" t="s">
        <v>282</v>
      </c>
      <c r="D114" s="10">
        <v>126298.25</v>
      </c>
      <c r="E114" s="12" t="s">
        <v>440</v>
      </c>
      <c r="F114" s="12">
        <f>0.126298*1000</f>
        <v>126.29799999999999</v>
      </c>
      <c r="G114" s="12" t="s">
        <v>457</v>
      </c>
      <c r="H114" s="12" t="s">
        <v>457</v>
      </c>
      <c r="I114" s="12" t="s">
        <v>457</v>
      </c>
      <c r="J114" s="12" t="s">
        <v>457</v>
      </c>
    </row>
    <row r="115" spans="2:10" s="11" customFormat="1" ht="25.5">
      <c r="B115" s="48" t="s">
        <v>135</v>
      </c>
      <c r="C115" s="49" t="s">
        <v>282</v>
      </c>
      <c r="D115" s="10">
        <v>136711.37</v>
      </c>
      <c r="E115" s="12" t="s">
        <v>441</v>
      </c>
      <c r="F115" s="12">
        <f>0.136711*1000</f>
        <v>136.71100000000001</v>
      </c>
      <c r="G115" s="12" t="s">
        <v>457</v>
      </c>
      <c r="H115" s="12" t="s">
        <v>457</v>
      </c>
      <c r="I115" s="12" t="s">
        <v>457</v>
      </c>
      <c r="J115" s="12" t="s">
        <v>457</v>
      </c>
    </row>
    <row r="116" spans="2:10" s="11" customFormat="1" ht="25.5">
      <c r="B116" s="48" t="s">
        <v>136</v>
      </c>
      <c r="C116" s="49" t="s">
        <v>282</v>
      </c>
      <c r="D116" s="10">
        <v>58144.74</v>
      </c>
      <c r="E116" s="12" t="s">
        <v>442</v>
      </c>
      <c r="F116" s="12">
        <f>0.058144*1000</f>
        <v>58.143999999999998</v>
      </c>
      <c r="G116" s="12" t="s">
        <v>457</v>
      </c>
      <c r="H116" s="12" t="s">
        <v>457</v>
      </c>
      <c r="I116" s="12" t="s">
        <v>457</v>
      </c>
      <c r="J116" s="12" t="s">
        <v>457</v>
      </c>
    </row>
    <row r="117" spans="2:10" s="11" customFormat="1" ht="25.5">
      <c r="B117" s="48" t="s">
        <v>137</v>
      </c>
      <c r="C117" s="49" t="s">
        <v>282</v>
      </c>
      <c r="D117" s="10">
        <v>116134.97</v>
      </c>
      <c r="E117" s="12" t="s">
        <v>443</v>
      </c>
      <c r="F117" s="12">
        <f>0.116134*1000</f>
        <v>116.134</v>
      </c>
      <c r="G117" s="12" t="s">
        <v>457</v>
      </c>
      <c r="H117" s="12" t="s">
        <v>457</v>
      </c>
      <c r="I117" s="12" t="s">
        <v>457</v>
      </c>
      <c r="J117" s="12" t="s">
        <v>457</v>
      </c>
    </row>
    <row r="118" spans="2:10" s="11" customFormat="1" ht="25.5">
      <c r="B118" s="48" t="s">
        <v>138</v>
      </c>
      <c r="C118" s="49" t="s">
        <v>282</v>
      </c>
      <c r="D118" s="10">
        <v>58071.11</v>
      </c>
      <c r="E118" s="12" t="s">
        <v>444</v>
      </c>
      <c r="F118" s="12">
        <f>0.058071*1000</f>
        <v>58.070999999999998</v>
      </c>
      <c r="G118" s="12" t="s">
        <v>457</v>
      </c>
      <c r="H118" s="12" t="s">
        <v>457</v>
      </c>
      <c r="I118" s="12" t="s">
        <v>457</v>
      </c>
      <c r="J118" s="12" t="s">
        <v>457</v>
      </c>
    </row>
    <row r="119" spans="2:10" s="11" customFormat="1" ht="38.25">
      <c r="B119" s="48" t="s">
        <v>139</v>
      </c>
      <c r="C119" s="49" t="s">
        <v>282</v>
      </c>
      <c r="D119" s="10">
        <v>227351.23</v>
      </c>
      <c r="E119" s="12" t="s">
        <v>445</v>
      </c>
      <c r="F119" s="12">
        <f>0.227351*1000</f>
        <v>227.351</v>
      </c>
      <c r="G119" s="12" t="s">
        <v>457</v>
      </c>
      <c r="H119" s="12" t="s">
        <v>457</v>
      </c>
      <c r="I119" s="12" t="s">
        <v>457</v>
      </c>
      <c r="J119" s="12" t="s">
        <v>457</v>
      </c>
    </row>
    <row r="120" spans="2:10" s="11" customFormat="1" ht="25.5">
      <c r="B120" s="48" t="s">
        <v>140</v>
      </c>
      <c r="C120" s="49" t="s">
        <v>282</v>
      </c>
      <c r="D120" s="7">
        <v>258629.09</v>
      </c>
      <c r="E120" s="12" t="s">
        <v>519</v>
      </c>
      <c r="F120" s="12">
        <f>0.258629*1000</f>
        <v>258.62900000000002</v>
      </c>
      <c r="G120" s="12" t="s">
        <v>457</v>
      </c>
      <c r="H120" s="12" t="s">
        <v>457</v>
      </c>
      <c r="I120" s="12" t="s">
        <v>457</v>
      </c>
      <c r="J120" s="12" t="s">
        <v>457</v>
      </c>
    </row>
    <row r="121" spans="2:10" s="11" customFormat="1" ht="25.5">
      <c r="B121" s="48" t="s">
        <v>141</v>
      </c>
      <c r="C121" s="49" t="s">
        <v>282</v>
      </c>
      <c r="D121" s="10">
        <v>270595.21000000002</v>
      </c>
      <c r="E121" s="12" t="s">
        <v>446</v>
      </c>
      <c r="F121" s="12">
        <f>0.270595*1000</f>
        <v>270.59499999999997</v>
      </c>
      <c r="G121" s="12" t="s">
        <v>457</v>
      </c>
      <c r="H121" s="12" t="s">
        <v>457</v>
      </c>
      <c r="I121" s="12" t="s">
        <v>457</v>
      </c>
      <c r="J121" s="12" t="s">
        <v>457</v>
      </c>
    </row>
    <row r="122" spans="2:10" s="11" customFormat="1" ht="63.75">
      <c r="B122" s="48" t="s">
        <v>142</v>
      </c>
      <c r="C122" s="49" t="s">
        <v>282</v>
      </c>
      <c r="D122" s="10">
        <v>1682200.35</v>
      </c>
      <c r="E122" s="12" t="s">
        <v>450</v>
      </c>
      <c r="F122" s="12">
        <f>1.6822*1000</f>
        <v>1682.1999999999998</v>
      </c>
      <c r="G122" s="12" t="s">
        <v>457</v>
      </c>
      <c r="H122" s="12" t="s">
        <v>457</v>
      </c>
      <c r="I122" s="12" t="s">
        <v>457</v>
      </c>
      <c r="J122" s="12" t="s">
        <v>457</v>
      </c>
    </row>
    <row r="123" spans="2:10" s="11" customFormat="1" ht="89.25">
      <c r="B123" s="48" t="s">
        <v>143</v>
      </c>
      <c r="C123" s="49" t="s">
        <v>282</v>
      </c>
      <c r="D123" s="10">
        <v>548403.13</v>
      </c>
      <c r="E123" s="12" t="s">
        <v>448</v>
      </c>
      <c r="F123" s="12">
        <f>0.548403*1000</f>
        <v>548.40300000000002</v>
      </c>
      <c r="G123" s="12" t="s">
        <v>457</v>
      </c>
      <c r="H123" s="12" t="s">
        <v>457</v>
      </c>
      <c r="I123" s="12" t="s">
        <v>457</v>
      </c>
      <c r="J123" s="12" t="s">
        <v>457</v>
      </c>
    </row>
    <row r="124" spans="2:10" s="11" customFormat="1" ht="38.25">
      <c r="B124" s="48" t="s">
        <v>144</v>
      </c>
      <c r="C124" s="49" t="s">
        <v>282</v>
      </c>
      <c r="D124" s="10">
        <v>683979.89</v>
      </c>
      <c r="E124" s="12" t="s">
        <v>453</v>
      </c>
      <c r="F124" s="12">
        <f>0.692874*1000</f>
        <v>692.87400000000002</v>
      </c>
      <c r="G124" s="12" t="s">
        <v>457</v>
      </c>
      <c r="H124" s="12" t="s">
        <v>457</v>
      </c>
      <c r="I124" s="12" t="s">
        <v>457</v>
      </c>
      <c r="J124" s="12" t="s">
        <v>457</v>
      </c>
    </row>
    <row r="125" spans="2:10" s="11" customFormat="1" ht="63.75">
      <c r="B125" s="48" t="s">
        <v>145</v>
      </c>
      <c r="C125" s="49" t="s">
        <v>282</v>
      </c>
      <c r="D125" s="10">
        <v>1289745.26</v>
      </c>
      <c r="E125" s="12" t="s">
        <v>454</v>
      </c>
      <c r="F125" s="12">
        <f>1.289745*1000</f>
        <v>1289.7449999999999</v>
      </c>
      <c r="G125" s="12" t="s">
        <v>457</v>
      </c>
      <c r="H125" s="12" t="s">
        <v>457</v>
      </c>
      <c r="I125" s="12" t="s">
        <v>457</v>
      </c>
      <c r="J125" s="12" t="s">
        <v>457</v>
      </c>
    </row>
    <row r="126" spans="2:10" s="11" customFormat="1" ht="38.25">
      <c r="B126" s="48" t="s">
        <v>146</v>
      </c>
      <c r="C126" s="49" t="s">
        <v>282</v>
      </c>
      <c r="D126" s="10">
        <v>139131.89000000001</v>
      </c>
      <c r="E126" s="12" t="s">
        <v>449</v>
      </c>
      <c r="F126" s="12">
        <f>0.13937*1000</f>
        <v>139.37</v>
      </c>
      <c r="G126" s="12" t="s">
        <v>457</v>
      </c>
      <c r="H126" s="12" t="s">
        <v>457</v>
      </c>
      <c r="I126" s="12" t="s">
        <v>457</v>
      </c>
      <c r="J126" s="12" t="s">
        <v>457</v>
      </c>
    </row>
    <row r="127" spans="2:10" s="11" customFormat="1" ht="38.25">
      <c r="B127" s="48" t="s">
        <v>147</v>
      </c>
      <c r="C127" s="49" t="s">
        <v>282</v>
      </c>
      <c r="D127" s="7">
        <v>709129.04</v>
      </c>
      <c r="E127" s="12" t="s">
        <v>451</v>
      </c>
      <c r="F127" s="12">
        <f>0.709127*1000</f>
        <v>709.12699999999995</v>
      </c>
      <c r="G127" s="12" t="s">
        <v>457</v>
      </c>
      <c r="H127" s="12" t="s">
        <v>457</v>
      </c>
      <c r="I127" s="12" t="s">
        <v>457</v>
      </c>
      <c r="J127" s="12" t="s">
        <v>457</v>
      </c>
    </row>
    <row r="128" spans="2:10" s="11" customFormat="1" ht="38.25">
      <c r="B128" s="48" t="s">
        <v>148</v>
      </c>
      <c r="C128" s="49" t="s">
        <v>282</v>
      </c>
      <c r="D128" s="7">
        <v>4406662.17</v>
      </c>
      <c r="E128" s="12" t="s">
        <v>456</v>
      </c>
      <c r="F128" s="12">
        <f>4.406662*1000</f>
        <v>4406.6620000000003</v>
      </c>
      <c r="G128" s="12" t="s">
        <v>457</v>
      </c>
      <c r="H128" s="12" t="s">
        <v>457</v>
      </c>
      <c r="I128" s="12" t="s">
        <v>457</v>
      </c>
      <c r="J128" s="12" t="s">
        <v>457</v>
      </c>
    </row>
    <row r="129" spans="2:10" s="11" customFormat="1" ht="38.25">
      <c r="B129" s="48" t="s">
        <v>149</v>
      </c>
      <c r="C129" s="49" t="s">
        <v>282</v>
      </c>
      <c r="D129" s="10">
        <v>1884347.58</v>
      </c>
      <c r="E129" s="12" t="s">
        <v>455</v>
      </c>
      <c r="F129" s="12">
        <f>1.884347*1000</f>
        <v>1884.347</v>
      </c>
      <c r="G129" s="12" t="s">
        <v>457</v>
      </c>
      <c r="H129" s="12" t="s">
        <v>457</v>
      </c>
      <c r="I129" s="12" t="s">
        <v>457</v>
      </c>
      <c r="J129" s="12" t="s">
        <v>457</v>
      </c>
    </row>
    <row r="130" spans="2:10" s="11" customFormat="1" ht="38.25">
      <c r="B130" s="48" t="s">
        <v>150</v>
      </c>
      <c r="C130" s="49" t="s">
        <v>282</v>
      </c>
      <c r="D130" s="10">
        <v>665743.59</v>
      </c>
      <c r="E130" s="12" t="s">
        <v>452</v>
      </c>
      <c r="F130" s="12">
        <f>0.665743*1000</f>
        <v>665.74299999999994</v>
      </c>
      <c r="G130" s="12" t="s">
        <v>457</v>
      </c>
      <c r="H130" s="12" t="s">
        <v>457</v>
      </c>
      <c r="I130" s="12" t="s">
        <v>457</v>
      </c>
      <c r="J130" s="12" t="s">
        <v>457</v>
      </c>
    </row>
    <row r="131" spans="2:10" s="11" customFormat="1" ht="38.25">
      <c r="B131" s="48" t="s">
        <v>151</v>
      </c>
      <c r="C131" s="49" t="s">
        <v>282</v>
      </c>
      <c r="D131" s="10">
        <v>264425.06</v>
      </c>
      <c r="E131" s="12" t="s">
        <v>375</v>
      </c>
      <c r="F131" s="12">
        <f>0.264425*1000</f>
        <v>264.42500000000001</v>
      </c>
      <c r="G131" s="12" t="s">
        <v>457</v>
      </c>
      <c r="H131" s="12" t="s">
        <v>457</v>
      </c>
      <c r="I131" s="12" t="s">
        <v>457</v>
      </c>
      <c r="J131" s="12" t="s">
        <v>457</v>
      </c>
    </row>
    <row r="132" spans="2:10" s="11" customFormat="1" ht="38.25">
      <c r="B132" s="48" t="s">
        <v>152</v>
      </c>
      <c r="C132" s="49" t="s">
        <v>282</v>
      </c>
      <c r="D132" s="10">
        <v>132212.53</v>
      </c>
      <c r="E132" s="12" t="s">
        <v>376</v>
      </c>
      <c r="F132" s="12">
        <f>0.132212*1000</f>
        <v>132.21199999999999</v>
      </c>
      <c r="G132" s="12" t="s">
        <v>457</v>
      </c>
      <c r="H132" s="12" t="s">
        <v>457</v>
      </c>
      <c r="I132" s="12" t="s">
        <v>457</v>
      </c>
      <c r="J132" s="12" t="s">
        <v>457</v>
      </c>
    </row>
    <row r="133" spans="2:10" s="11" customFormat="1" ht="25.5">
      <c r="B133" s="48" t="s">
        <v>153</v>
      </c>
      <c r="C133" s="49" t="s">
        <v>282</v>
      </c>
      <c r="D133" s="10">
        <v>187342.69</v>
      </c>
      <c r="E133" s="12" t="s">
        <v>377</v>
      </c>
      <c r="F133" s="12">
        <f>0.187342*1000</f>
        <v>187.34200000000001</v>
      </c>
      <c r="G133" s="12" t="s">
        <v>457</v>
      </c>
      <c r="H133" s="12" t="s">
        <v>457</v>
      </c>
      <c r="I133" s="12" t="s">
        <v>457</v>
      </c>
      <c r="J133" s="12" t="s">
        <v>457</v>
      </c>
    </row>
    <row r="134" spans="2:10" s="11" customFormat="1" ht="38.25">
      <c r="B134" s="48" t="s">
        <v>154</v>
      </c>
      <c r="C134" s="49" t="s">
        <v>282</v>
      </c>
      <c r="D134" s="10">
        <v>151151.43</v>
      </c>
      <c r="E134" s="12" t="s">
        <v>378</v>
      </c>
      <c r="F134" s="12">
        <f>0.151151*1000</f>
        <v>151.15100000000001</v>
      </c>
      <c r="G134" s="12" t="s">
        <v>457</v>
      </c>
      <c r="H134" s="12" t="s">
        <v>457</v>
      </c>
      <c r="I134" s="12" t="s">
        <v>457</v>
      </c>
      <c r="J134" s="12" t="s">
        <v>457</v>
      </c>
    </row>
    <row r="135" spans="2:10" s="11" customFormat="1" ht="38.25">
      <c r="B135" s="48" t="s">
        <v>155</v>
      </c>
      <c r="C135" s="49" t="s">
        <v>282</v>
      </c>
      <c r="D135" s="7">
        <v>132212.53</v>
      </c>
      <c r="E135" s="12" t="s">
        <v>379</v>
      </c>
      <c r="F135" s="12">
        <f>0.132212*1000</f>
        <v>132.21199999999999</v>
      </c>
      <c r="G135" s="12" t="s">
        <v>457</v>
      </c>
      <c r="H135" s="12" t="s">
        <v>457</v>
      </c>
      <c r="I135" s="12" t="s">
        <v>457</v>
      </c>
      <c r="J135" s="12" t="s">
        <v>457</v>
      </c>
    </row>
    <row r="136" spans="2:10" s="11" customFormat="1" ht="25.5">
      <c r="B136" s="48" t="s">
        <v>156</v>
      </c>
      <c r="C136" s="49" t="s">
        <v>282</v>
      </c>
      <c r="D136" s="10">
        <v>1268360.17</v>
      </c>
      <c r="E136" s="12" t="s">
        <v>522</v>
      </c>
      <c r="F136" s="12">
        <f>1.26836*1000</f>
        <v>1268.3599999999999</v>
      </c>
      <c r="G136" s="12" t="s">
        <v>457</v>
      </c>
      <c r="H136" s="12" t="s">
        <v>457</v>
      </c>
      <c r="I136" s="12" t="s">
        <v>457</v>
      </c>
      <c r="J136" s="12" t="s">
        <v>457</v>
      </c>
    </row>
    <row r="137" spans="2:10" s="11" customFormat="1" ht="25.5">
      <c r="B137" s="48" t="s">
        <v>157</v>
      </c>
      <c r="C137" s="49" t="s">
        <v>282</v>
      </c>
      <c r="D137" s="10">
        <v>32742.48</v>
      </c>
      <c r="E137" s="12" t="s">
        <v>388</v>
      </c>
      <c r="F137" s="12">
        <f>0.033197*1000</f>
        <v>33.196999999999996</v>
      </c>
      <c r="G137" s="12" t="s">
        <v>457</v>
      </c>
      <c r="H137" s="12" t="s">
        <v>457</v>
      </c>
      <c r="I137" s="12" t="s">
        <v>457</v>
      </c>
      <c r="J137" s="12" t="s">
        <v>457</v>
      </c>
    </row>
    <row r="138" spans="2:10" s="11" customFormat="1" ht="51">
      <c r="B138" s="48" t="s">
        <v>158</v>
      </c>
      <c r="C138" s="49" t="s">
        <v>282</v>
      </c>
      <c r="D138" s="10">
        <v>2416150.09</v>
      </c>
      <c r="E138" s="12" t="s">
        <v>398</v>
      </c>
      <c r="F138" s="12">
        <f>2.414031*1000</f>
        <v>2414.0309999999999</v>
      </c>
      <c r="G138" s="12" t="s">
        <v>457</v>
      </c>
      <c r="H138" s="12" t="s">
        <v>457</v>
      </c>
      <c r="I138" s="12" t="s">
        <v>457</v>
      </c>
      <c r="J138" s="12" t="s">
        <v>457</v>
      </c>
    </row>
    <row r="139" spans="2:10" s="11" customFormat="1" ht="38.25">
      <c r="B139" s="48" t="s">
        <v>159</v>
      </c>
      <c r="C139" s="49" t="s">
        <v>282</v>
      </c>
      <c r="D139" s="10">
        <v>1208651.0900000001</v>
      </c>
      <c r="E139" s="12" t="s">
        <v>399</v>
      </c>
      <c r="F139" s="12">
        <f>1.208691*1000</f>
        <v>1208.691</v>
      </c>
      <c r="G139" s="12" t="s">
        <v>457</v>
      </c>
      <c r="H139" s="12" t="s">
        <v>457</v>
      </c>
      <c r="I139" s="12" t="s">
        <v>457</v>
      </c>
      <c r="J139" s="12" t="s">
        <v>457</v>
      </c>
    </row>
    <row r="140" spans="2:10" s="11" customFormat="1" ht="51">
      <c r="B140" s="48" t="s">
        <v>160</v>
      </c>
      <c r="C140" s="49" t="s">
        <v>282</v>
      </c>
      <c r="D140" s="10">
        <v>49942</v>
      </c>
      <c r="E140" s="12" t="s">
        <v>400</v>
      </c>
      <c r="F140" s="12">
        <f>0.052741*1000</f>
        <v>52.741</v>
      </c>
      <c r="G140" s="12" t="s">
        <v>457</v>
      </c>
      <c r="H140" s="12" t="s">
        <v>457</v>
      </c>
      <c r="I140" s="12" t="s">
        <v>457</v>
      </c>
      <c r="J140" s="12" t="s">
        <v>457</v>
      </c>
    </row>
    <row r="141" spans="2:10" s="11" customFormat="1" ht="25.5">
      <c r="B141" s="48" t="s">
        <v>161</v>
      </c>
      <c r="C141" s="49" t="s">
        <v>282</v>
      </c>
      <c r="D141" s="13">
        <v>108134.47</v>
      </c>
      <c r="E141" s="12" t="s">
        <v>487</v>
      </c>
      <c r="F141" s="12">
        <f>0.108134*1000</f>
        <v>108.134</v>
      </c>
      <c r="G141" s="12" t="s">
        <v>457</v>
      </c>
      <c r="H141" s="12" t="s">
        <v>457</v>
      </c>
      <c r="I141" s="12" t="s">
        <v>457</v>
      </c>
      <c r="J141" s="12" t="s">
        <v>457</v>
      </c>
    </row>
    <row r="142" spans="2:10" s="11" customFormat="1" ht="25.5">
      <c r="B142" s="48" t="s">
        <v>162</v>
      </c>
      <c r="C142" s="49" t="s">
        <v>282</v>
      </c>
      <c r="D142" s="14">
        <v>317896.01195999997</v>
      </c>
      <c r="E142" s="12" t="s">
        <v>520</v>
      </c>
      <c r="F142" s="12">
        <f>0.317896*1000</f>
        <v>317.89600000000002</v>
      </c>
      <c r="G142" s="12" t="s">
        <v>457</v>
      </c>
      <c r="H142" s="12" t="s">
        <v>457</v>
      </c>
      <c r="I142" s="12" t="s">
        <v>457</v>
      </c>
      <c r="J142" s="12" t="s">
        <v>457</v>
      </c>
    </row>
    <row r="143" spans="2:10" s="11" customFormat="1" ht="25.5">
      <c r="B143" s="48" t="s">
        <v>163</v>
      </c>
      <c r="C143" s="49" t="s">
        <v>282</v>
      </c>
      <c r="D143" s="13">
        <v>77277.55</v>
      </c>
      <c r="E143" s="12" t="s">
        <v>488</v>
      </c>
      <c r="F143" s="12">
        <f>0.077277*1000</f>
        <v>77.277000000000001</v>
      </c>
      <c r="G143" s="12" t="s">
        <v>457</v>
      </c>
      <c r="H143" s="12" t="s">
        <v>457</v>
      </c>
      <c r="I143" s="12" t="s">
        <v>457</v>
      </c>
      <c r="J143" s="12" t="s">
        <v>457</v>
      </c>
    </row>
    <row r="144" spans="2:10" s="11" customFormat="1" ht="25.5">
      <c r="B144" s="48" t="s">
        <v>164</v>
      </c>
      <c r="C144" s="49" t="s">
        <v>282</v>
      </c>
      <c r="D144" s="13">
        <v>233449.92214000001</v>
      </c>
      <c r="E144" s="12" t="s">
        <v>521</v>
      </c>
      <c r="F144" s="12">
        <f>0.233449*1000</f>
        <v>233.44899999999998</v>
      </c>
      <c r="G144" s="12" t="s">
        <v>457</v>
      </c>
      <c r="H144" s="12" t="s">
        <v>457</v>
      </c>
      <c r="I144" s="12" t="s">
        <v>457</v>
      </c>
      <c r="J144" s="12" t="s">
        <v>457</v>
      </c>
    </row>
    <row r="145" spans="2:10" s="11" customFormat="1" ht="25.5">
      <c r="B145" s="48" t="s">
        <v>165</v>
      </c>
      <c r="C145" s="49" t="s">
        <v>282</v>
      </c>
      <c r="D145" s="13">
        <v>169806.8</v>
      </c>
      <c r="E145" s="12" t="s">
        <v>489</v>
      </c>
      <c r="F145" s="12">
        <f>0.169806*1000</f>
        <v>169.80600000000001</v>
      </c>
      <c r="G145" s="12" t="s">
        <v>457</v>
      </c>
      <c r="H145" s="12" t="s">
        <v>457</v>
      </c>
      <c r="I145" s="12" t="s">
        <v>457</v>
      </c>
      <c r="J145" s="12" t="s">
        <v>457</v>
      </c>
    </row>
    <row r="146" spans="2:10" s="11" customFormat="1" ht="25.5">
      <c r="B146" s="48" t="s">
        <v>166</v>
      </c>
      <c r="C146" s="49" t="s">
        <v>282</v>
      </c>
      <c r="D146" s="14">
        <v>222591.12655000002</v>
      </c>
      <c r="E146" s="12" t="s">
        <v>523</v>
      </c>
      <c r="F146" s="12">
        <f>0.222591*1000</f>
        <v>222.59100000000001</v>
      </c>
      <c r="G146" s="12" t="s">
        <v>457</v>
      </c>
      <c r="H146" s="12" t="s">
        <v>457</v>
      </c>
      <c r="I146" s="12" t="s">
        <v>457</v>
      </c>
      <c r="J146" s="12" t="s">
        <v>457</v>
      </c>
    </row>
    <row r="147" spans="2:10" s="11" customFormat="1" ht="25.5">
      <c r="B147" s="48" t="s">
        <v>167</v>
      </c>
      <c r="C147" s="49" t="s">
        <v>282</v>
      </c>
      <c r="D147" s="13">
        <v>119695.64</v>
      </c>
      <c r="E147" s="12" t="s">
        <v>490</v>
      </c>
      <c r="F147" s="12">
        <f>0.119695*1000</f>
        <v>119.69499999999999</v>
      </c>
      <c r="G147" s="12" t="s">
        <v>457</v>
      </c>
      <c r="H147" s="12" t="s">
        <v>457</v>
      </c>
      <c r="I147" s="12" t="s">
        <v>457</v>
      </c>
      <c r="J147" s="12" t="s">
        <v>457</v>
      </c>
    </row>
    <row r="148" spans="2:10" s="11" customFormat="1" ht="25.5">
      <c r="B148" s="48" t="s">
        <v>168</v>
      </c>
      <c r="C148" s="49" t="s">
        <v>282</v>
      </c>
      <c r="D148" s="14">
        <v>194692.23218999998</v>
      </c>
      <c r="E148" s="12" t="s">
        <v>524</v>
      </c>
      <c r="F148" s="12">
        <f>0.194692*1000</f>
        <v>194.69200000000001</v>
      </c>
      <c r="G148" s="12" t="s">
        <v>457</v>
      </c>
      <c r="H148" s="12" t="s">
        <v>457</v>
      </c>
      <c r="I148" s="12" t="s">
        <v>457</v>
      </c>
      <c r="J148" s="12" t="s">
        <v>457</v>
      </c>
    </row>
    <row r="149" spans="2:10" s="11" customFormat="1" ht="25.5">
      <c r="B149" s="48" t="s">
        <v>169</v>
      </c>
      <c r="C149" s="49" t="s">
        <v>282</v>
      </c>
      <c r="D149" s="13">
        <v>37436.01</v>
      </c>
      <c r="E149" s="12" t="s">
        <v>491</v>
      </c>
      <c r="F149" s="12">
        <f>0.037436*1000</f>
        <v>37.436</v>
      </c>
      <c r="G149" s="12" t="s">
        <v>457</v>
      </c>
      <c r="H149" s="12" t="s">
        <v>457</v>
      </c>
      <c r="I149" s="12" t="s">
        <v>457</v>
      </c>
      <c r="J149" s="12" t="s">
        <v>457</v>
      </c>
    </row>
    <row r="150" spans="2:10" s="11" customFormat="1" ht="25.5">
      <c r="B150" s="48" t="s">
        <v>170</v>
      </c>
      <c r="C150" s="49" t="s">
        <v>282</v>
      </c>
      <c r="D150" s="13">
        <v>189737.78602999999</v>
      </c>
      <c r="E150" s="12" t="s">
        <v>525</v>
      </c>
      <c r="F150" s="12">
        <f>0.189737*1000</f>
        <v>189.73699999999999</v>
      </c>
      <c r="G150" s="12" t="s">
        <v>457</v>
      </c>
      <c r="H150" s="12" t="s">
        <v>457</v>
      </c>
      <c r="I150" s="12" t="s">
        <v>457</v>
      </c>
      <c r="J150" s="12" t="s">
        <v>457</v>
      </c>
    </row>
    <row r="151" spans="2:10" s="11" customFormat="1" ht="25.5">
      <c r="B151" s="48" t="s">
        <v>171</v>
      </c>
      <c r="C151" s="49" t="s">
        <v>282</v>
      </c>
      <c r="D151" s="13">
        <v>44412.23</v>
      </c>
      <c r="E151" s="12" t="s">
        <v>492</v>
      </c>
      <c r="F151" s="12">
        <f>0.044412*1000</f>
        <v>44.411999999999999</v>
      </c>
      <c r="G151" s="12" t="s">
        <v>457</v>
      </c>
      <c r="H151" s="12" t="s">
        <v>457</v>
      </c>
      <c r="I151" s="12" t="s">
        <v>457</v>
      </c>
      <c r="J151" s="12" t="s">
        <v>457</v>
      </c>
    </row>
    <row r="152" spans="2:10" s="11" customFormat="1" ht="25.5">
      <c r="B152" s="48" t="s">
        <v>172</v>
      </c>
      <c r="C152" s="49" t="s">
        <v>282</v>
      </c>
      <c r="D152" s="13">
        <v>253050.24499000001</v>
      </c>
      <c r="E152" s="12" t="s">
        <v>526</v>
      </c>
      <c r="F152" s="12">
        <f>0.25305*1000</f>
        <v>253.05</v>
      </c>
      <c r="G152" s="12" t="s">
        <v>457</v>
      </c>
      <c r="H152" s="12" t="s">
        <v>457</v>
      </c>
      <c r="I152" s="12" t="s">
        <v>457</v>
      </c>
      <c r="J152" s="12" t="s">
        <v>457</v>
      </c>
    </row>
    <row r="153" spans="2:10" s="11" customFormat="1" ht="25.5">
      <c r="B153" s="48" t="s">
        <v>173</v>
      </c>
      <c r="C153" s="49" t="s">
        <v>282</v>
      </c>
      <c r="D153" s="13">
        <v>51068.92</v>
      </c>
      <c r="E153" s="12" t="s">
        <v>493</v>
      </c>
      <c r="F153" s="12">
        <f>0.051068*1000</f>
        <v>51.068000000000005</v>
      </c>
      <c r="G153" s="12" t="s">
        <v>457</v>
      </c>
      <c r="H153" s="12" t="s">
        <v>457</v>
      </c>
      <c r="I153" s="12" t="s">
        <v>457</v>
      </c>
      <c r="J153" s="12" t="s">
        <v>457</v>
      </c>
    </row>
    <row r="154" spans="2:10" s="11" customFormat="1" ht="25.5">
      <c r="B154" s="48" t="s">
        <v>174</v>
      </c>
      <c r="C154" s="49" t="s">
        <v>282</v>
      </c>
      <c r="D154" s="13">
        <v>249217.26117999997</v>
      </c>
      <c r="E154" s="12" t="s">
        <v>527</v>
      </c>
      <c r="F154" s="12">
        <f>0.249217*1000</f>
        <v>249.21699999999998</v>
      </c>
      <c r="G154" s="12" t="s">
        <v>457</v>
      </c>
      <c r="H154" s="12" t="s">
        <v>457</v>
      </c>
      <c r="I154" s="12" t="s">
        <v>457</v>
      </c>
      <c r="J154" s="12" t="s">
        <v>457</v>
      </c>
    </row>
    <row r="155" spans="2:10" s="11" customFormat="1" ht="38.25">
      <c r="B155" s="48" t="s">
        <v>175</v>
      </c>
      <c r="C155" s="49" t="s">
        <v>282</v>
      </c>
      <c r="D155" s="13">
        <v>157566.74</v>
      </c>
      <c r="E155" s="12" t="s">
        <v>361</v>
      </c>
      <c r="F155" s="12">
        <f>0.157566*1000</f>
        <v>157.566</v>
      </c>
      <c r="G155" s="12" t="s">
        <v>457</v>
      </c>
      <c r="H155" s="12" t="s">
        <v>457</v>
      </c>
      <c r="I155" s="12" t="s">
        <v>457</v>
      </c>
      <c r="J155" s="12" t="s">
        <v>457</v>
      </c>
    </row>
    <row r="156" spans="2:10" s="11" customFormat="1" ht="25.5">
      <c r="B156" s="48" t="s">
        <v>176</v>
      </c>
      <c r="C156" s="49" t="s">
        <v>282</v>
      </c>
      <c r="D156" s="13">
        <v>60121.93</v>
      </c>
      <c r="E156" s="12" t="s">
        <v>494</v>
      </c>
      <c r="F156" s="12">
        <f>0.060121*1000</f>
        <v>60.121000000000002</v>
      </c>
      <c r="G156" s="12" t="s">
        <v>457</v>
      </c>
      <c r="H156" s="12" t="s">
        <v>457</v>
      </c>
      <c r="I156" s="12" t="s">
        <v>457</v>
      </c>
      <c r="J156" s="12" t="s">
        <v>457</v>
      </c>
    </row>
    <row r="157" spans="2:10" s="11" customFormat="1" ht="25.5">
      <c r="B157" s="48" t="s">
        <v>177</v>
      </c>
      <c r="C157" s="49" t="s">
        <v>282</v>
      </c>
      <c r="D157" s="13">
        <v>246234.40604</v>
      </c>
      <c r="E157" s="12" t="s">
        <v>528</v>
      </c>
      <c r="F157" s="12">
        <f>0.246234*1000</f>
        <v>246.23400000000001</v>
      </c>
      <c r="G157" s="12" t="s">
        <v>457</v>
      </c>
      <c r="H157" s="12" t="s">
        <v>457</v>
      </c>
      <c r="I157" s="12" t="s">
        <v>457</v>
      </c>
      <c r="J157" s="12" t="s">
        <v>457</v>
      </c>
    </row>
    <row r="158" spans="2:10" s="11" customFormat="1" ht="25.5">
      <c r="B158" s="48" t="s">
        <v>178</v>
      </c>
      <c r="C158" s="49" t="s">
        <v>282</v>
      </c>
      <c r="D158" s="15">
        <v>243869.08463999999</v>
      </c>
      <c r="E158" s="12" t="s">
        <v>529</v>
      </c>
      <c r="F158" s="12">
        <f>0.243869*1000</f>
        <v>243.869</v>
      </c>
      <c r="G158" s="12" t="s">
        <v>457</v>
      </c>
      <c r="H158" s="12" t="s">
        <v>457</v>
      </c>
      <c r="I158" s="12" t="s">
        <v>457</v>
      </c>
      <c r="J158" s="12" t="s">
        <v>457</v>
      </c>
    </row>
    <row r="159" spans="2:10" s="11" customFormat="1" ht="38.25">
      <c r="B159" s="48" t="s">
        <v>179</v>
      </c>
      <c r="C159" s="49" t="s">
        <v>282</v>
      </c>
      <c r="D159" s="15">
        <v>148733.94</v>
      </c>
      <c r="E159" s="12" t="s">
        <v>362</v>
      </c>
      <c r="F159" s="12">
        <f>0.148733*1000</f>
        <v>148.733</v>
      </c>
      <c r="G159" s="12" t="s">
        <v>457</v>
      </c>
      <c r="H159" s="12" t="s">
        <v>457</v>
      </c>
      <c r="I159" s="12" t="s">
        <v>457</v>
      </c>
      <c r="J159" s="12" t="s">
        <v>457</v>
      </c>
    </row>
    <row r="160" spans="2:10" s="11" customFormat="1" ht="38.25">
      <c r="B160" s="48" t="s">
        <v>180</v>
      </c>
      <c r="C160" s="49" t="s">
        <v>282</v>
      </c>
      <c r="D160" s="15">
        <v>179794.71</v>
      </c>
      <c r="E160" s="12" t="s">
        <v>363</v>
      </c>
      <c r="F160" s="12">
        <f>0.179794*1000</f>
        <v>179.79400000000001</v>
      </c>
      <c r="G160" s="12" t="s">
        <v>457</v>
      </c>
      <c r="H160" s="12" t="s">
        <v>457</v>
      </c>
      <c r="I160" s="12" t="s">
        <v>457</v>
      </c>
      <c r="J160" s="12" t="s">
        <v>457</v>
      </c>
    </row>
    <row r="161" spans="2:10" s="11" customFormat="1" ht="25.5">
      <c r="B161" s="48" t="s">
        <v>181</v>
      </c>
      <c r="C161" s="49" t="s">
        <v>282</v>
      </c>
      <c r="D161" s="15">
        <v>39084.720000000001</v>
      </c>
      <c r="E161" s="12" t="s">
        <v>497</v>
      </c>
      <c r="F161" s="12">
        <f>0.039084*1000</f>
        <v>39.084000000000003</v>
      </c>
      <c r="G161" s="12" t="s">
        <v>457</v>
      </c>
      <c r="H161" s="12" t="s">
        <v>457</v>
      </c>
      <c r="I161" s="12" t="s">
        <v>457</v>
      </c>
      <c r="J161" s="12" t="s">
        <v>457</v>
      </c>
    </row>
    <row r="162" spans="2:10" s="11" customFormat="1" ht="38.25">
      <c r="B162" s="48" t="s">
        <v>182</v>
      </c>
      <c r="C162" s="49" t="s">
        <v>282</v>
      </c>
      <c r="D162" s="15">
        <v>179794.71</v>
      </c>
      <c r="E162" s="12" t="s">
        <v>364</v>
      </c>
      <c r="F162" s="12">
        <f>0.179794*1000</f>
        <v>179.79400000000001</v>
      </c>
      <c r="G162" s="12" t="s">
        <v>457</v>
      </c>
      <c r="H162" s="12" t="s">
        <v>457</v>
      </c>
      <c r="I162" s="12" t="s">
        <v>457</v>
      </c>
      <c r="J162" s="12" t="s">
        <v>457</v>
      </c>
    </row>
    <row r="163" spans="2:10" s="11" customFormat="1" ht="38.25">
      <c r="B163" s="48" t="s">
        <v>183</v>
      </c>
      <c r="C163" s="49" t="s">
        <v>282</v>
      </c>
      <c r="D163" s="15">
        <v>157566.74</v>
      </c>
      <c r="E163" s="12" t="s">
        <v>365</v>
      </c>
      <c r="F163" s="12">
        <f>0.157566*1000</f>
        <v>157.566</v>
      </c>
      <c r="G163" s="12" t="s">
        <v>457</v>
      </c>
      <c r="H163" s="12" t="s">
        <v>457</v>
      </c>
      <c r="I163" s="12" t="s">
        <v>457</v>
      </c>
      <c r="J163" s="12" t="s">
        <v>457</v>
      </c>
    </row>
    <row r="164" spans="2:10" s="11" customFormat="1" ht="25.5">
      <c r="B164" s="48" t="s">
        <v>184</v>
      </c>
      <c r="C164" s="49" t="s">
        <v>282</v>
      </c>
      <c r="D164" s="13">
        <v>299942.21789999999</v>
      </c>
      <c r="E164" s="12" t="s">
        <v>530</v>
      </c>
      <c r="F164" s="12">
        <f>0.299942*1000</f>
        <v>299.94200000000001</v>
      </c>
      <c r="G164" s="12" t="s">
        <v>457</v>
      </c>
      <c r="H164" s="12" t="s">
        <v>457</v>
      </c>
      <c r="I164" s="12" t="s">
        <v>457</v>
      </c>
      <c r="J164" s="12" t="s">
        <v>457</v>
      </c>
    </row>
    <row r="165" spans="2:10" s="11" customFormat="1" ht="25.5">
      <c r="B165" s="48" t="s">
        <v>185</v>
      </c>
      <c r="C165" s="49" t="s">
        <v>282</v>
      </c>
      <c r="D165" s="13">
        <v>206441.77492000003</v>
      </c>
      <c r="E165" s="12" t="s">
        <v>531</v>
      </c>
      <c r="F165" s="12">
        <f>0.206441*1000</f>
        <v>206.441</v>
      </c>
      <c r="G165" s="12" t="s">
        <v>457</v>
      </c>
      <c r="H165" s="12" t="s">
        <v>457</v>
      </c>
      <c r="I165" s="12" t="s">
        <v>457</v>
      </c>
      <c r="J165" s="12" t="s">
        <v>457</v>
      </c>
    </row>
    <row r="166" spans="2:10" s="11" customFormat="1" ht="25.5">
      <c r="B166" s="48" t="s">
        <v>186</v>
      </c>
      <c r="C166" s="49" t="s">
        <v>282</v>
      </c>
      <c r="D166" s="13">
        <v>228837.70724000002</v>
      </c>
      <c r="E166" s="12" t="s">
        <v>532</v>
      </c>
      <c r="F166" s="12">
        <f>0.228837*1000</f>
        <v>228.83700000000002</v>
      </c>
      <c r="G166" s="12" t="s">
        <v>457</v>
      </c>
      <c r="H166" s="12" t="s">
        <v>457</v>
      </c>
      <c r="I166" s="12" t="s">
        <v>457</v>
      </c>
      <c r="J166" s="12" t="s">
        <v>457</v>
      </c>
    </row>
    <row r="167" spans="2:10" s="11" customFormat="1" ht="25.5">
      <c r="B167" s="48" t="s">
        <v>187</v>
      </c>
      <c r="C167" s="49" t="s">
        <v>282</v>
      </c>
      <c r="D167" s="13">
        <v>214695.49639999997</v>
      </c>
      <c r="E167" s="12" t="s">
        <v>533</v>
      </c>
      <c r="F167" s="12">
        <f>0.214695*1000</f>
        <v>214.69499999999999</v>
      </c>
      <c r="G167" s="12" t="s">
        <v>457</v>
      </c>
      <c r="H167" s="12" t="s">
        <v>457</v>
      </c>
      <c r="I167" s="12" t="s">
        <v>457</v>
      </c>
      <c r="J167" s="12" t="s">
        <v>457</v>
      </c>
    </row>
    <row r="168" spans="2:10" s="11" customFormat="1" ht="25.5">
      <c r="B168" s="48" t="s">
        <v>188</v>
      </c>
      <c r="C168" s="49" t="s">
        <v>282</v>
      </c>
      <c r="D168" s="13">
        <v>276924.58639999997</v>
      </c>
      <c r="E168" s="12" t="s">
        <v>534</v>
      </c>
      <c r="F168" s="12">
        <f>0.276902*1000</f>
        <v>276.90199999999999</v>
      </c>
      <c r="G168" s="12" t="s">
        <v>457</v>
      </c>
      <c r="H168" s="12" t="s">
        <v>457</v>
      </c>
      <c r="I168" s="12" t="s">
        <v>457</v>
      </c>
      <c r="J168" s="12" t="s">
        <v>457</v>
      </c>
    </row>
    <row r="169" spans="2:10" s="11" customFormat="1" ht="25.5">
      <c r="B169" s="48" t="s">
        <v>189</v>
      </c>
      <c r="C169" s="49" t="s">
        <v>282</v>
      </c>
      <c r="D169" s="13">
        <v>232974.3536</v>
      </c>
      <c r="E169" s="12" t="s">
        <v>535</v>
      </c>
      <c r="F169" s="12">
        <f>0.232951*1000</f>
        <v>232.95099999999999</v>
      </c>
      <c r="G169" s="12" t="s">
        <v>457</v>
      </c>
      <c r="H169" s="12" t="s">
        <v>457</v>
      </c>
      <c r="I169" s="12" t="s">
        <v>457</v>
      </c>
      <c r="J169" s="12" t="s">
        <v>457</v>
      </c>
    </row>
    <row r="170" spans="2:10" s="11" customFormat="1" ht="25.5">
      <c r="B170" s="48" t="s">
        <v>190</v>
      </c>
      <c r="C170" s="49" t="s">
        <v>282</v>
      </c>
      <c r="D170" s="13">
        <v>245007.46035000001</v>
      </c>
      <c r="E170" s="12" t="s">
        <v>536</v>
      </c>
      <c r="F170" s="12">
        <f>0.245007*1000</f>
        <v>245.00700000000001</v>
      </c>
      <c r="G170" s="12" t="s">
        <v>457</v>
      </c>
      <c r="H170" s="12" t="s">
        <v>457</v>
      </c>
      <c r="I170" s="12" t="s">
        <v>457</v>
      </c>
      <c r="J170" s="12" t="s">
        <v>457</v>
      </c>
    </row>
    <row r="171" spans="2:10" s="11" customFormat="1" ht="38.25">
      <c r="B171" s="48" t="s">
        <v>191</v>
      </c>
      <c r="C171" s="49" t="s">
        <v>282</v>
      </c>
      <c r="D171" s="13">
        <v>136262.64000000001</v>
      </c>
      <c r="E171" s="12" t="s">
        <v>366</v>
      </c>
      <c r="F171" s="12">
        <f>0.136262*1000</f>
        <v>136.262</v>
      </c>
      <c r="G171" s="12" t="s">
        <v>457</v>
      </c>
      <c r="H171" s="12" t="s">
        <v>457</v>
      </c>
      <c r="I171" s="12" t="s">
        <v>457</v>
      </c>
      <c r="J171" s="12" t="s">
        <v>457</v>
      </c>
    </row>
    <row r="172" spans="2:10" s="11" customFormat="1" ht="25.5">
      <c r="B172" s="48" t="s">
        <v>192</v>
      </c>
      <c r="C172" s="49" t="s">
        <v>282</v>
      </c>
      <c r="D172" s="13">
        <v>264232.2795</v>
      </c>
      <c r="E172" s="12" t="s">
        <v>552</v>
      </c>
      <c r="F172" s="12">
        <f>0.264232*1000</f>
        <v>264.23200000000003</v>
      </c>
      <c r="G172" s="12" t="s">
        <v>457</v>
      </c>
      <c r="H172" s="12" t="s">
        <v>457</v>
      </c>
      <c r="I172" s="12" t="s">
        <v>457</v>
      </c>
      <c r="J172" s="12" t="s">
        <v>457</v>
      </c>
    </row>
    <row r="173" spans="2:10" s="11" customFormat="1" ht="38.25">
      <c r="B173" s="48" t="s">
        <v>193</v>
      </c>
      <c r="C173" s="49" t="s">
        <v>282</v>
      </c>
      <c r="D173" s="13">
        <v>179794.71</v>
      </c>
      <c r="E173" s="12" t="s">
        <v>367</v>
      </c>
      <c r="F173" s="12">
        <f>0.179794*1000</f>
        <v>179.79400000000001</v>
      </c>
      <c r="G173" s="12" t="s">
        <v>457</v>
      </c>
      <c r="H173" s="12" t="s">
        <v>457</v>
      </c>
      <c r="I173" s="12" t="s">
        <v>457</v>
      </c>
      <c r="J173" s="12" t="s">
        <v>457</v>
      </c>
    </row>
    <row r="174" spans="2:10" s="11" customFormat="1" ht="38.25">
      <c r="B174" s="48" t="s">
        <v>194</v>
      </c>
      <c r="C174" s="49" t="s">
        <v>282</v>
      </c>
      <c r="D174" s="13">
        <v>179794.71</v>
      </c>
      <c r="E174" s="12" t="s">
        <v>368</v>
      </c>
      <c r="F174" s="12">
        <f>0.179794*1000</f>
        <v>179.79400000000001</v>
      </c>
      <c r="G174" s="12" t="s">
        <v>457</v>
      </c>
      <c r="H174" s="12" t="s">
        <v>457</v>
      </c>
      <c r="I174" s="12" t="s">
        <v>457</v>
      </c>
      <c r="J174" s="12" t="s">
        <v>457</v>
      </c>
    </row>
    <row r="175" spans="2:10" s="11" customFormat="1" ht="25.5">
      <c r="B175" s="48" t="s">
        <v>195</v>
      </c>
      <c r="C175" s="49" t="s">
        <v>282</v>
      </c>
      <c r="D175" s="13">
        <v>265936.38757999998</v>
      </c>
      <c r="E175" s="12" t="s">
        <v>553</v>
      </c>
      <c r="F175" s="12">
        <f>0.265936*1000</f>
        <v>265.93599999999998</v>
      </c>
      <c r="G175" s="12" t="s">
        <v>457</v>
      </c>
      <c r="H175" s="12" t="s">
        <v>457</v>
      </c>
      <c r="I175" s="12" t="s">
        <v>457</v>
      </c>
      <c r="J175" s="12" t="s">
        <v>457</v>
      </c>
    </row>
    <row r="176" spans="2:10" s="11" customFormat="1" ht="25.5">
      <c r="B176" s="48" t="s">
        <v>196</v>
      </c>
      <c r="C176" s="49" t="s">
        <v>282</v>
      </c>
      <c r="D176" s="13">
        <v>249046.71979999999</v>
      </c>
      <c r="E176" s="12" t="s">
        <v>554</v>
      </c>
      <c r="F176" s="12">
        <f>0.249046*1000</f>
        <v>249.04599999999999</v>
      </c>
      <c r="G176" s="12" t="s">
        <v>457</v>
      </c>
      <c r="H176" s="12" t="s">
        <v>457</v>
      </c>
      <c r="I176" s="12" t="s">
        <v>457</v>
      </c>
      <c r="J176" s="12" t="s">
        <v>457</v>
      </c>
    </row>
    <row r="177" spans="2:10" s="11" customFormat="1" ht="25.5">
      <c r="B177" s="48" t="s">
        <v>197</v>
      </c>
      <c r="C177" s="49" t="s">
        <v>282</v>
      </c>
      <c r="D177" s="13">
        <v>248789.84404999999</v>
      </c>
      <c r="E177" s="12" t="s">
        <v>555</v>
      </c>
      <c r="F177" s="12">
        <f>0.248789*1000</f>
        <v>248.78900000000002</v>
      </c>
      <c r="G177" s="12" t="s">
        <v>457</v>
      </c>
      <c r="H177" s="12" t="s">
        <v>457</v>
      </c>
      <c r="I177" s="12" t="s">
        <v>457</v>
      </c>
      <c r="J177" s="12" t="s">
        <v>457</v>
      </c>
    </row>
    <row r="178" spans="2:10" s="11" customFormat="1" ht="25.5">
      <c r="B178" s="48" t="s">
        <v>198</v>
      </c>
      <c r="C178" s="49" t="s">
        <v>282</v>
      </c>
      <c r="D178" s="13">
        <v>244937.10835999998</v>
      </c>
      <c r="E178" s="12" t="s">
        <v>556</v>
      </c>
      <c r="F178" s="12">
        <f>0.244937*1000</f>
        <v>244.93699999999998</v>
      </c>
      <c r="G178" s="12" t="s">
        <v>457</v>
      </c>
      <c r="H178" s="12" t="s">
        <v>457</v>
      </c>
      <c r="I178" s="12" t="s">
        <v>457</v>
      </c>
      <c r="J178" s="12" t="s">
        <v>457</v>
      </c>
    </row>
    <row r="179" spans="2:10" s="11" customFormat="1">
      <c r="B179" s="48" t="s">
        <v>199</v>
      </c>
      <c r="C179" s="49" t="s">
        <v>282</v>
      </c>
      <c r="D179" s="15">
        <v>75866.02</v>
      </c>
      <c r="E179" s="12" t="s">
        <v>495</v>
      </c>
      <c r="F179" s="12">
        <f>0.075866*1000</f>
        <v>75.866</v>
      </c>
      <c r="G179" s="12" t="s">
        <v>457</v>
      </c>
      <c r="H179" s="12" t="s">
        <v>457</v>
      </c>
      <c r="I179" s="12" t="s">
        <v>457</v>
      </c>
      <c r="J179" s="12" t="s">
        <v>457</v>
      </c>
    </row>
    <row r="180" spans="2:10" s="11" customFormat="1" ht="38.25">
      <c r="B180" s="48" t="s">
        <v>200</v>
      </c>
      <c r="C180" s="49" t="s">
        <v>282</v>
      </c>
      <c r="D180" s="15">
        <v>179794.71</v>
      </c>
      <c r="E180" s="12" t="s">
        <v>369</v>
      </c>
      <c r="F180" s="12">
        <f>0.179794*1000</f>
        <v>179.79400000000001</v>
      </c>
      <c r="G180" s="12" t="s">
        <v>457</v>
      </c>
      <c r="H180" s="12" t="s">
        <v>457</v>
      </c>
      <c r="I180" s="12" t="s">
        <v>457</v>
      </c>
      <c r="J180" s="12" t="s">
        <v>457</v>
      </c>
    </row>
    <row r="181" spans="2:10" s="11" customFormat="1" ht="38.25">
      <c r="B181" s="48" t="s">
        <v>201</v>
      </c>
      <c r="C181" s="49" t="s">
        <v>282</v>
      </c>
      <c r="D181" s="15">
        <v>115726.96840000001</v>
      </c>
      <c r="E181" s="12" t="s">
        <v>370</v>
      </c>
      <c r="F181" s="12">
        <f>0.115726*1000</f>
        <v>115.726</v>
      </c>
      <c r="G181" s="12" t="s">
        <v>457</v>
      </c>
      <c r="H181" s="12" t="s">
        <v>457</v>
      </c>
      <c r="I181" s="12" t="s">
        <v>457</v>
      </c>
      <c r="J181" s="12" t="s">
        <v>457</v>
      </c>
    </row>
    <row r="182" spans="2:10" s="11" customFormat="1" ht="25.5">
      <c r="B182" s="48" t="s">
        <v>202</v>
      </c>
      <c r="C182" s="49" t="s">
        <v>282</v>
      </c>
      <c r="D182" s="15">
        <v>234626.58963999999</v>
      </c>
      <c r="E182" s="12" t="s">
        <v>371</v>
      </c>
      <c r="F182" s="12">
        <f>0.234626*1000</f>
        <v>234.626</v>
      </c>
      <c r="G182" s="12" t="s">
        <v>457</v>
      </c>
      <c r="H182" s="12" t="s">
        <v>457</v>
      </c>
      <c r="I182" s="12" t="s">
        <v>457</v>
      </c>
      <c r="J182" s="12" t="s">
        <v>457</v>
      </c>
    </row>
    <row r="183" spans="2:10" s="11" customFormat="1" ht="38.25" customHeight="1">
      <c r="B183" s="55" t="s">
        <v>204</v>
      </c>
      <c r="C183" s="56" t="s">
        <v>282</v>
      </c>
      <c r="D183" s="56">
        <v>6987642.4000000004</v>
      </c>
      <c r="E183" s="12" t="s">
        <v>372</v>
      </c>
      <c r="F183" s="12">
        <f>2.936401*1000</f>
        <v>2936.4009999999998</v>
      </c>
      <c r="G183" s="12" t="s">
        <v>457</v>
      </c>
      <c r="H183" s="12" t="s">
        <v>457</v>
      </c>
      <c r="I183" s="12" t="s">
        <v>457</v>
      </c>
      <c r="J183" s="12" t="s">
        <v>457</v>
      </c>
    </row>
    <row r="184" spans="2:10" s="11" customFormat="1">
      <c r="B184" s="55"/>
      <c r="C184" s="56"/>
      <c r="D184" s="56"/>
      <c r="E184" s="12" t="s">
        <v>373</v>
      </c>
      <c r="F184" s="12">
        <f>0.962984*1000</f>
        <v>962.98399999999992</v>
      </c>
      <c r="G184" s="12" t="s">
        <v>457</v>
      </c>
      <c r="H184" s="12" t="s">
        <v>457</v>
      </c>
      <c r="I184" s="12" t="s">
        <v>457</v>
      </c>
      <c r="J184" s="12" t="s">
        <v>457</v>
      </c>
    </row>
    <row r="185" spans="2:10" s="11" customFormat="1">
      <c r="B185" s="55"/>
      <c r="C185" s="56"/>
      <c r="D185" s="56"/>
      <c r="E185" s="12" t="s">
        <v>374</v>
      </c>
      <c r="F185" s="12">
        <f>3.013943*1000</f>
        <v>3013.9429999999998</v>
      </c>
      <c r="G185" s="12" t="s">
        <v>457</v>
      </c>
      <c r="H185" s="12" t="s">
        <v>457</v>
      </c>
      <c r="I185" s="12" t="s">
        <v>457</v>
      </c>
      <c r="J185" s="12" t="s">
        <v>457</v>
      </c>
    </row>
    <row r="186" spans="2:10" s="11" customFormat="1" ht="63.75">
      <c r="B186" s="48" t="s">
        <v>205</v>
      </c>
      <c r="C186" s="49" t="s">
        <v>282</v>
      </c>
      <c r="D186" s="14">
        <v>1430046.53</v>
      </c>
      <c r="E186" s="12" t="s">
        <v>401</v>
      </c>
      <c r="F186" s="12">
        <f>1.430045*1000</f>
        <v>1430.0450000000001</v>
      </c>
      <c r="G186" s="12" t="s">
        <v>457</v>
      </c>
      <c r="H186" s="12" t="s">
        <v>457</v>
      </c>
      <c r="I186" s="12" t="s">
        <v>457</v>
      </c>
      <c r="J186" s="12" t="s">
        <v>457</v>
      </c>
    </row>
    <row r="187" spans="2:10" s="11" customFormat="1" ht="25.5">
      <c r="B187" s="48" t="s">
        <v>207</v>
      </c>
      <c r="C187" s="49" t="s">
        <v>282</v>
      </c>
      <c r="D187" s="14">
        <v>131446.92227000001</v>
      </c>
      <c r="E187" s="12" t="s">
        <v>613</v>
      </c>
      <c r="F187" s="12">
        <f>0.131415*1000</f>
        <v>131.41499999999999</v>
      </c>
      <c r="G187" s="12" t="s">
        <v>457</v>
      </c>
      <c r="H187" s="12" t="s">
        <v>457</v>
      </c>
      <c r="I187" s="12" t="s">
        <v>457</v>
      </c>
      <c r="J187" s="12" t="s">
        <v>457</v>
      </c>
    </row>
    <row r="188" spans="2:10" s="11" customFormat="1" ht="25.5">
      <c r="B188" s="48" t="s">
        <v>208</v>
      </c>
      <c r="C188" s="49" t="s">
        <v>282</v>
      </c>
      <c r="D188" s="14">
        <v>265015.81348000001</v>
      </c>
      <c r="E188" s="12" t="s">
        <v>614</v>
      </c>
      <c r="F188" s="12">
        <f>0.265015*1000</f>
        <v>265.01499999999999</v>
      </c>
      <c r="G188" s="12" t="s">
        <v>457</v>
      </c>
      <c r="H188" s="12" t="s">
        <v>457</v>
      </c>
      <c r="I188" s="12" t="s">
        <v>457</v>
      </c>
      <c r="J188" s="12" t="s">
        <v>457</v>
      </c>
    </row>
    <row r="189" spans="2:10" s="11" customFormat="1" ht="25.5">
      <c r="B189" s="48" t="s">
        <v>206</v>
      </c>
      <c r="C189" s="49" t="s">
        <v>282</v>
      </c>
      <c r="D189" s="14">
        <v>527075.9915</v>
      </c>
      <c r="E189" s="12" t="s">
        <v>447</v>
      </c>
      <c r="F189" s="12">
        <f>0.527075*1000</f>
        <v>527.07499999999993</v>
      </c>
      <c r="G189" s="12" t="s">
        <v>457</v>
      </c>
      <c r="H189" s="12" t="s">
        <v>457</v>
      </c>
      <c r="I189" s="12" t="s">
        <v>457</v>
      </c>
      <c r="J189" s="12" t="s">
        <v>457</v>
      </c>
    </row>
    <row r="190" spans="2:10" s="11" customFormat="1" ht="26.25">
      <c r="B190" s="18" t="s">
        <v>209</v>
      </c>
      <c r="C190" s="49" t="s">
        <v>282</v>
      </c>
      <c r="D190" s="7">
        <v>125083.35</v>
      </c>
      <c r="E190" s="12" t="s">
        <v>594</v>
      </c>
      <c r="F190" s="12">
        <f>0.125083*1000</f>
        <v>125.083</v>
      </c>
      <c r="G190" s="12" t="s">
        <v>457</v>
      </c>
      <c r="H190" s="12" t="s">
        <v>457</v>
      </c>
      <c r="I190" s="12" t="s">
        <v>457</v>
      </c>
      <c r="J190" s="12" t="s">
        <v>457</v>
      </c>
    </row>
    <row r="191" spans="2:10" s="11" customFormat="1" ht="26.25">
      <c r="B191" s="18" t="s">
        <v>210</v>
      </c>
      <c r="C191" s="49" t="s">
        <v>282</v>
      </c>
      <c r="D191" s="7">
        <v>125083.35</v>
      </c>
      <c r="E191" s="12" t="s">
        <v>596</v>
      </c>
      <c r="F191" s="12">
        <f>0.125083*1000</f>
        <v>125.083</v>
      </c>
      <c r="G191" s="12" t="s">
        <v>457</v>
      </c>
      <c r="H191" s="12" t="s">
        <v>457</v>
      </c>
      <c r="I191" s="12" t="s">
        <v>457</v>
      </c>
      <c r="J191" s="12" t="s">
        <v>457</v>
      </c>
    </row>
    <row r="192" spans="2:10" s="11" customFormat="1" ht="26.25">
      <c r="B192" s="18" t="s">
        <v>211</v>
      </c>
      <c r="C192" s="49" t="s">
        <v>282</v>
      </c>
      <c r="D192" s="7">
        <v>205199.21</v>
      </c>
      <c r="E192" s="12" t="s">
        <v>561</v>
      </c>
      <c r="F192" s="12">
        <f>0.205199*1000</f>
        <v>205.19899999999998</v>
      </c>
      <c r="G192" s="12" t="s">
        <v>457</v>
      </c>
      <c r="H192" s="12" t="s">
        <v>457</v>
      </c>
      <c r="I192" s="12" t="s">
        <v>457</v>
      </c>
      <c r="J192" s="12" t="s">
        <v>457</v>
      </c>
    </row>
    <row r="193" spans="2:10" s="11" customFormat="1" ht="26.25">
      <c r="B193" s="18" t="s">
        <v>212</v>
      </c>
      <c r="C193" s="49" t="s">
        <v>282</v>
      </c>
      <c r="D193" s="7">
        <v>157048.14000000001</v>
      </c>
      <c r="E193" s="12" t="s">
        <v>563</v>
      </c>
      <c r="F193" s="12">
        <f t="shared" ref="F193:F198" si="0">0.157048*1000</f>
        <v>157.048</v>
      </c>
      <c r="G193" s="12" t="s">
        <v>457</v>
      </c>
      <c r="H193" s="12" t="s">
        <v>457</v>
      </c>
      <c r="I193" s="12" t="s">
        <v>457</v>
      </c>
      <c r="J193" s="12" t="s">
        <v>457</v>
      </c>
    </row>
    <row r="194" spans="2:10" s="11" customFormat="1" ht="26.25">
      <c r="B194" s="18" t="s">
        <v>213</v>
      </c>
      <c r="C194" s="49" t="s">
        <v>282</v>
      </c>
      <c r="D194" s="7">
        <v>157048.14000000001</v>
      </c>
      <c r="E194" s="12" t="s">
        <v>587</v>
      </c>
      <c r="F194" s="12">
        <f t="shared" si="0"/>
        <v>157.048</v>
      </c>
      <c r="G194" s="12" t="s">
        <v>457</v>
      </c>
      <c r="H194" s="12" t="s">
        <v>457</v>
      </c>
      <c r="I194" s="12" t="s">
        <v>457</v>
      </c>
      <c r="J194" s="12" t="s">
        <v>457</v>
      </c>
    </row>
    <row r="195" spans="2:10" s="11" customFormat="1" ht="26.25">
      <c r="B195" s="18" t="s">
        <v>214</v>
      </c>
      <c r="C195" s="49" t="s">
        <v>282</v>
      </c>
      <c r="D195" s="7">
        <v>157048.14000000001</v>
      </c>
      <c r="E195" s="12" t="s">
        <v>569</v>
      </c>
      <c r="F195" s="12">
        <f t="shared" si="0"/>
        <v>157.048</v>
      </c>
      <c r="G195" s="12" t="s">
        <v>457</v>
      </c>
      <c r="H195" s="12" t="s">
        <v>457</v>
      </c>
      <c r="I195" s="12" t="s">
        <v>457</v>
      </c>
      <c r="J195" s="12" t="s">
        <v>457</v>
      </c>
    </row>
    <row r="196" spans="2:10" s="11" customFormat="1" ht="26.25">
      <c r="B196" s="18" t="s">
        <v>215</v>
      </c>
      <c r="C196" s="49" t="s">
        <v>282</v>
      </c>
      <c r="D196" s="7">
        <v>157048.14000000001</v>
      </c>
      <c r="E196" s="12" t="s">
        <v>558</v>
      </c>
      <c r="F196" s="12">
        <f t="shared" si="0"/>
        <v>157.048</v>
      </c>
      <c r="G196" s="12" t="s">
        <v>457</v>
      </c>
      <c r="H196" s="12" t="s">
        <v>457</v>
      </c>
      <c r="I196" s="12" t="s">
        <v>457</v>
      </c>
      <c r="J196" s="12" t="s">
        <v>457</v>
      </c>
    </row>
    <row r="197" spans="2:10" s="11" customFormat="1" ht="26.25">
      <c r="B197" s="18" t="s">
        <v>216</v>
      </c>
      <c r="C197" s="49" t="s">
        <v>282</v>
      </c>
      <c r="D197" s="7">
        <v>157048.14000000001</v>
      </c>
      <c r="E197" s="12" t="s">
        <v>559</v>
      </c>
      <c r="F197" s="12">
        <f t="shared" si="0"/>
        <v>157.048</v>
      </c>
      <c r="G197" s="12" t="s">
        <v>457</v>
      </c>
      <c r="H197" s="12" t="s">
        <v>457</v>
      </c>
      <c r="I197" s="12" t="s">
        <v>457</v>
      </c>
      <c r="J197" s="12" t="s">
        <v>457</v>
      </c>
    </row>
    <row r="198" spans="2:10" s="11" customFormat="1" ht="26.25">
      <c r="B198" s="18" t="s">
        <v>217</v>
      </c>
      <c r="C198" s="49" t="s">
        <v>282</v>
      </c>
      <c r="D198" s="7">
        <v>157048.14000000001</v>
      </c>
      <c r="E198" s="12" t="s">
        <v>559</v>
      </c>
      <c r="F198" s="12">
        <f t="shared" si="0"/>
        <v>157.048</v>
      </c>
      <c r="G198" s="12" t="s">
        <v>457</v>
      </c>
      <c r="H198" s="12" t="s">
        <v>457</v>
      </c>
      <c r="I198" s="12" t="s">
        <v>457</v>
      </c>
      <c r="J198" s="12" t="s">
        <v>457</v>
      </c>
    </row>
    <row r="199" spans="2:10" s="11" customFormat="1" ht="26.25">
      <c r="B199" s="18" t="s">
        <v>218</v>
      </c>
      <c r="C199" s="49" t="s">
        <v>282</v>
      </c>
      <c r="D199" s="7">
        <v>157566.74</v>
      </c>
      <c r="E199" s="12" t="s">
        <v>564</v>
      </c>
      <c r="F199" s="12">
        <f t="shared" ref="F199:F207" si="1">0.157566*1000</f>
        <v>157.566</v>
      </c>
      <c r="G199" s="12" t="s">
        <v>457</v>
      </c>
      <c r="H199" s="12" t="s">
        <v>457</v>
      </c>
      <c r="I199" s="12" t="s">
        <v>457</v>
      </c>
      <c r="J199" s="12" t="s">
        <v>457</v>
      </c>
    </row>
    <row r="200" spans="2:10" s="11" customFormat="1" ht="26.25">
      <c r="B200" s="18" t="s">
        <v>219</v>
      </c>
      <c r="C200" s="49" t="s">
        <v>282</v>
      </c>
      <c r="D200" s="7">
        <v>157566.74</v>
      </c>
      <c r="E200" s="12" t="s">
        <v>560</v>
      </c>
      <c r="F200" s="12">
        <f t="shared" si="1"/>
        <v>157.566</v>
      </c>
      <c r="G200" s="12" t="s">
        <v>457</v>
      </c>
      <c r="H200" s="12" t="s">
        <v>457</v>
      </c>
      <c r="I200" s="12" t="s">
        <v>457</v>
      </c>
      <c r="J200" s="12" t="s">
        <v>457</v>
      </c>
    </row>
    <row r="201" spans="2:10" s="11" customFormat="1" ht="26.25">
      <c r="B201" s="18" t="s">
        <v>220</v>
      </c>
      <c r="C201" s="49" t="s">
        <v>282</v>
      </c>
      <c r="D201" s="7">
        <v>157566.74</v>
      </c>
      <c r="E201" s="12" t="s">
        <v>557</v>
      </c>
      <c r="F201" s="12">
        <f t="shared" si="1"/>
        <v>157.566</v>
      </c>
      <c r="G201" s="12" t="s">
        <v>457</v>
      </c>
      <c r="H201" s="12" t="s">
        <v>457</v>
      </c>
      <c r="I201" s="12" t="s">
        <v>457</v>
      </c>
      <c r="J201" s="12" t="s">
        <v>457</v>
      </c>
    </row>
    <row r="202" spans="2:10" s="11" customFormat="1" ht="26.25">
      <c r="B202" s="18" t="s">
        <v>221</v>
      </c>
      <c r="C202" s="49" t="s">
        <v>282</v>
      </c>
      <c r="D202" s="7">
        <v>157566.74</v>
      </c>
      <c r="E202" s="12" t="s">
        <v>562</v>
      </c>
      <c r="F202" s="12">
        <f t="shared" si="1"/>
        <v>157.566</v>
      </c>
      <c r="G202" s="12" t="s">
        <v>457</v>
      </c>
      <c r="H202" s="12" t="s">
        <v>457</v>
      </c>
      <c r="I202" s="12" t="s">
        <v>457</v>
      </c>
      <c r="J202" s="12" t="s">
        <v>457</v>
      </c>
    </row>
    <row r="203" spans="2:10" s="11" customFormat="1" ht="26.25">
      <c r="B203" s="18" t="s">
        <v>222</v>
      </c>
      <c r="C203" s="49" t="s">
        <v>282</v>
      </c>
      <c r="D203" s="7">
        <v>157566.74</v>
      </c>
      <c r="E203" s="12" t="s">
        <v>565</v>
      </c>
      <c r="F203" s="12">
        <f t="shared" si="1"/>
        <v>157.566</v>
      </c>
      <c r="G203" s="12" t="s">
        <v>457</v>
      </c>
      <c r="H203" s="12" t="s">
        <v>457</v>
      </c>
      <c r="I203" s="12" t="s">
        <v>457</v>
      </c>
      <c r="J203" s="12" t="s">
        <v>457</v>
      </c>
    </row>
    <row r="204" spans="2:10" s="11" customFormat="1" ht="26.25">
      <c r="B204" s="18" t="s">
        <v>223</v>
      </c>
      <c r="C204" s="49" t="s">
        <v>282</v>
      </c>
      <c r="D204" s="7">
        <v>157566.74</v>
      </c>
      <c r="E204" s="12" t="s">
        <v>566</v>
      </c>
      <c r="F204" s="12">
        <f t="shared" si="1"/>
        <v>157.566</v>
      </c>
      <c r="G204" s="12" t="s">
        <v>457</v>
      </c>
      <c r="H204" s="12" t="s">
        <v>457</v>
      </c>
      <c r="I204" s="12" t="s">
        <v>457</v>
      </c>
      <c r="J204" s="12" t="s">
        <v>457</v>
      </c>
    </row>
    <row r="205" spans="2:10" s="11" customFormat="1" ht="26.25">
      <c r="B205" s="18" t="s">
        <v>224</v>
      </c>
      <c r="C205" s="49" t="s">
        <v>282</v>
      </c>
      <c r="D205" s="7">
        <v>157566.74</v>
      </c>
      <c r="E205" s="12" t="s">
        <v>568</v>
      </c>
      <c r="F205" s="12">
        <f t="shared" si="1"/>
        <v>157.566</v>
      </c>
      <c r="G205" s="12" t="s">
        <v>457</v>
      </c>
      <c r="H205" s="12" t="s">
        <v>457</v>
      </c>
      <c r="I205" s="12" t="s">
        <v>457</v>
      </c>
      <c r="J205" s="12" t="s">
        <v>457</v>
      </c>
    </row>
    <row r="206" spans="2:10" s="11" customFormat="1" ht="26.25">
      <c r="B206" s="18" t="s">
        <v>225</v>
      </c>
      <c r="C206" s="49" t="s">
        <v>282</v>
      </c>
      <c r="D206" s="7">
        <v>157566.74</v>
      </c>
      <c r="E206" s="12" t="s">
        <v>571</v>
      </c>
      <c r="F206" s="12">
        <f t="shared" si="1"/>
        <v>157.566</v>
      </c>
      <c r="G206" s="12" t="s">
        <v>457</v>
      </c>
      <c r="H206" s="12" t="s">
        <v>457</v>
      </c>
      <c r="I206" s="12" t="s">
        <v>457</v>
      </c>
      <c r="J206" s="12" t="s">
        <v>457</v>
      </c>
    </row>
    <row r="207" spans="2:10" s="11" customFormat="1" ht="26.25">
      <c r="B207" s="18" t="s">
        <v>226</v>
      </c>
      <c r="C207" s="49" t="s">
        <v>282</v>
      </c>
      <c r="D207" s="7">
        <v>157566.74</v>
      </c>
      <c r="E207" s="12" t="s">
        <v>570</v>
      </c>
      <c r="F207" s="12">
        <f t="shared" si="1"/>
        <v>157.566</v>
      </c>
      <c r="G207" s="12" t="s">
        <v>457</v>
      </c>
      <c r="H207" s="12" t="s">
        <v>457</v>
      </c>
      <c r="I207" s="12" t="s">
        <v>457</v>
      </c>
      <c r="J207" s="12" t="s">
        <v>457</v>
      </c>
    </row>
    <row r="208" spans="2:10" s="11" customFormat="1" ht="26.25">
      <c r="B208" s="18" t="s">
        <v>227</v>
      </c>
      <c r="C208" s="49" t="s">
        <v>282</v>
      </c>
      <c r="D208" s="7">
        <v>157566.74</v>
      </c>
      <c r="E208" s="12" t="s">
        <v>574</v>
      </c>
      <c r="F208" s="12">
        <f>0.157189*1000</f>
        <v>157.18899999999999</v>
      </c>
      <c r="G208" s="12" t="s">
        <v>457</v>
      </c>
      <c r="H208" s="12" t="s">
        <v>457</v>
      </c>
      <c r="I208" s="12" t="s">
        <v>457</v>
      </c>
      <c r="J208" s="12" t="s">
        <v>457</v>
      </c>
    </row>
    <row r="209" spans="2:10" s="11" customFormat="1" ht="26.25">
      <c r="B209" s="18" t="s">
        <v>228</v>
      </c>
      <c r="C209" s="49" t="s">
        <v>282</v>
      </c>
      <c r="D209" s="7">
        <v>157566.74</v>
      </c>
      <c r="E209" s="12" t="s">
        <v>573</v>
      </c>
      <c r="F209" s="12">
        <f>0.157566*1000</f>
        <v>157.566</v>
      </c>
      <c r="G209" s="12" t="s">
        <v>457</v>
      </c>
      <c r="H209" s="12" t="s">
        <v>457</v>
      </c>
      <c r="I209" s="12" t="s">
        <v>457</v>
      </c>
      <c r="J209" s="12" t="s">
        <v>457</v>
      </c>
    </row>
    <row r="210" spans="2:10" s="11" customFormat="1" ht="26.25">
      <c r="B210" s="18" t="s">
        <v>229</v>
      </c>
      <c r="C210" s="49" t="s">
        <v>282</v>
      </c>
      <c r="D210" s="7">
        <v>157566.74</v>
      </c>
      <c r="E210" s="12" t="s">
        <v>572</v>
      </c>
      <c r="F210" s="12">
        <f>0.157566*1000</f>
        <v>157.566</v>
      </c>
      <c r="G210" s="12" t="s">
        <v>457</v>
      </c>
      <c r="H210" s="12" t="s">
        <v>457</v>
      </c>
      <c r="I210" s="12" t="s">
        <v>457</v>
      </c>
      <c r="J210" s="12" t="s">
        <v>457</v>
      </c>
    </row>
    <row r="211" spans="2:10" s="11" customFormat="1" ht="26.25">
      <c r="B211" s="18" t="s">
        <v>230</v>
      </c>
      <c r="C211" s="49" t="s">
        <v>282</v>
      </c>
      <c r="D211" s="7">
        <v>157566.74</v>
      </c>
      <c r="E211" s="12" t="s">
        <v>575</v>
      </c>
      <c r="F211" s="12">
        <f>0.157566*1000</f>
        <v>157.566</v>
      </c>
      <c r="G211" s="12" t="s">
        <v>457</v>
      </c>
      <c r="H211" s="12" t="s">
        <v>457</v>
      </c>
      <c r="I211" s="12" t="s">
        <v>457</v>
      </c>
      <c r="J211" s="12" t="s">
        <v>457</v>
      </c>
    </row>
    <row r="212" spans="2:10" s="11" customFormat="1" ht="26.25">
      <c r="B212" s="18" t="s">
        <v>231</v>
      </c>
      <c r="C212" s="49" t="s">
        <v>282</v>
      </c>
      <c r="D212" s="7">
        <v>157566.74</v>
      </c>
      <c r="E212" s="12" t="s">
        <v>577</v>
      </c>
      <c r="F212" s="12">
        <f t="shared" ref="F212:F219" si="2">0.157189*1000</f>
        <v>157.18899999999999</v>
      </c>
      <c r="G212" s="12" t="s">
        <v>457</v>
      </c>
      <c r="H212" s="12" t="s">
        <v>457</v>
      </c>
      <c r="I212" s="12" t="s">
        <v>457</v>
      </c>
      <c r="J212" s="12" t="s">
        <v>457</v>
      </c>
    </row>
    <row r="213" spans="2:10" s="11" customFormat="1" ht="26.25">
      <c r="B213" s="18" t="s">
        <v>232</v>
      </c>
      <c r="C213" s="49" t="s">
        <v>282</v>
      </c>
      <c r="D213" s="7">
        <v>157566.74</v>
      </c>
      <c r="E213" s="12" t="s">
        <v>578</v>
      </c>
      <c r="F213" s="12">
        <f t="shared" si="2"/>
        <v>157.18899999999999</v>
      </c>
      <c r="G213" s="12" t="s">
        <v>457</v>
      </c>
      <c r="H213" s="12" t="s">
        <v>457</v>
      </c>
      <c r="I213" s="12" t="s">
        <v>457</v>
      </c>
      <c r="J213" s="12" t="s">
        <v>457</v>
      </c>
    </row>
    <row r="214" spans="2:10" s="11" customFormat="1" ht="26.25">
      <c r="B214" s="18" t="s">
        <v>233</v>
      </c>
      <c r="C214" s="49" t="s">
        <v>282</v>
      </c>
      <c r="D214" s="7">
        <v>157566.74</v>
      </c>
      <c r="E214" s="12" t="s">
        <v>580</v>
      </c>
      <c r="F214" s="12">
        <f t="shared" si="2"/>
        <v>157.18899999999999</v>
      </c>
      <c r="G214" s="12" t="s">
        <v>457</v>
      </c>
      <c r="H214" s="12" t="s">
        <v>457</v>
      </c>
      <c r="I214" s="12" t="s">
        <v>457</v>
      </c>
      <c r="J214" s="12" t="s">
        <v>457</v>
      </c>
    </row>
    <row r="215" spans="2:10" s="11" customFormat="1" ht="26.25">
      <c r="B215" s="18" t="s">
        <v>234</v>
      </c>
      <c r="C215" s="49" t="s">
        <v>282</v>
      </c>
      <c r="D215" s="7">
        <v>157566.74</v>
      </c>
      <c r="E215" s="12" t="s">
        <v>582</v>
      </c>
      <c r="F215" s="12">
        <f t="shared" si="2"/>
        <v>157.18899999999999</v>
      </c>
      <c r="G215" s="12" t="s">
        <v>457</v>
      </c>
      <c r="H215" s="12" t="s">
        <v>457</v>
      </c>
      <c r="I215" s="12" t="s">
        <v>457</v>
      </c>
      <c r="J215" s="12" t="s">
        <v>457</v>
      </c>
    </row>
    <row r="216" spans="2:10" s="11" customFormat="1" ht="26.25">
      <c r="B216" s="18" t="s">
        <v>235</v>
      </c>
      <c r="C216" s="49" t="s">
        <v>282</v>
      </c>
      <c r="D216" s="7">
        <v>157566.74</v>
      </c>
      <c r="E216" s="12" t="s">
        <v>592</v>
      </c>
      <c r="F216" s="12">
        <f t="shared" si="2"/>
        <v>157.18899999999999</v>
      </c>
      <c r="G216" s="12" t="s">
        <v>457</v>
      </c>
      <c r="H216" s="12" t="s">
        <v>457</v>
      </c>
      <c r="I216" s="12" t="s">
        <v>457</v>
      </c>
      <c r="J216" s="12" t="s">
        <v>457</v>
      </c>
    </row>
    <row r="217" spans="2:10" s="11" customFormat="1" ht="26.25">
      <c r="B217" s="18" t="s">
        <v>236</v>
      </c>
      <c r="C217" s="49" t="s">
        <v>282</v>
      </c>
      <c r="D217" s="7">
        <v>157566.74</v>
      </c>
      <c r="E217" s="12" t="s">
        <v>589</v>
      </c>
      <c r="F217" s="12">
        <f t="shared" si="2"/>
        <v>157.18899999999999</v>
      </c>
      <c r="G217" s="12" t="s">
        <v>457</v>
      </c>
      <c r="H217" s="12" t="s">
        <v>457</v>
      </c>
      <c r="I217" s="12" t="s">
        <v>457</v>
      </c>
      <c r="J217" s="12" t="s">
        <v>457</v>
      </c>
    </row>
    <row r="218" spans="2:10" s="11" customFormat="1" ht="26.25">
      <c r="B218" s="18" t="s">
        <v>237</v>
      </c>
      <c r="C218" s="49" t="s">
        <v>282</v>
      </c>
      <c r="D218" s="7">
        <v>157566.74</v>
      </c>
      <c r="E218" s="12" t="s">
        <v>593</v>
      </c>
      <c r="F218" s="12">
        <f t="shared" si="2"/>
        <v>157.18899999999999</v>
      </c>
      <c r="G218" s="12" t="s">
        <v>457</v>
      </c>
      <c r="H218" s="12" t="s">
        <v>457</v>
      </c>
      <c r="I218" s="12" t="s">
        <v>457</v>
      </c>
      <c r="J218" s="12" t="s">
        <v>457</v>
      </c>
    </row>
    <row r="219" spans="2:10" s="11" customFormat="1" ht="26.25">
      <c r="B219" s="18" t="s">
        <v>238</v>
      </c>
      <c r="C219" s="49" t="s">
        <v>282</v>
      </c>
      <c r="D219" s="7">
        <v>157566.74</v>
      </c>
      <c r="E219" s="12" t="s">
        <v>595</v>
      </c>
      <c r="F219" s="12">
        <f t="shared" si="2"/>
        <v>157.18899999999999</v>
      </c>
      <c r="G219" s="12" t="s">
        <v>457</v>
      </c>
      <c r="H219" s="12" t="s">
        <v>457</v>
      </c>
      <c r="I219" s="12" t="s">
        <v>457</v>
      </c>
      <c r="J219" s="12" t="s">
        <v>457</v>
      </c>
    </row>
    <row r="220" spans="2:10" s="11" customFormat="1" ht="26.25">
      <c r="B220" s="18" t="s">
        <v>239</v>
      </c>
      <c r="C220" s="49" t="s">
        <v>282</v>
      </c>
      <c r="D220" s="7">
        <v>148733.94</v>
      </c>
      <c r="E220" s="12" t="s">
        <v>585</v>
      </c>
      <c r="F220" s="12">
        <f>0.148733*1000</f>
        <v>148.733</v>
      </c>
      <c r="G220" s="12" t="s">
        <v>457</v>
      </c>
      <c r="H220" s="12" t="s">
        <v>457</v>
      </c>
      <c r="I220" s="12" t="s">
        <v>457</v>
      </c>
      <c r="J220" s="12" t="s">
        <v>457</v>
      </c>
    </row>
    <row r="221" spans="2:10" s="11" customFormat="1" ht="26.25">
      <c r="B221" s="18" t="s">
        <v>240</v>
      </c>
      <c r="C221" s="49" t="s">
        <v>282</v>
      </c>
      <c r="D221" s="7">
        <v>157566.74</v>
      </c>
      <c r="E221" s="12" t="s">
        <v>597</v>
      </c>
      <c r="F221" s="12">
        <f>0.157189*1000</f>
        <v>157.18899999999999</v>
      </c>
      <c r="G221" s="12" t="s">
        <v>457</v>
      </c>
      <c r="H221" s="12" t="s">
        <v>457</v>
      </c>
      <c r="I221" s="12" t="s">
        <v>457</v>
      </c>
      <c r="J221" s="12" t="s">
        <v>457</v>
      </c>
    </row>
    <row r="222" spans="2:10" s="11" customFormat="1" ht="26.25">
      <c r="B222" s="18" t="s">
        <v>241</v>
      </c>
      <c r="C222" s="49" t="s">
        <v>282</v>
      </c>
      <c r="D222" s="7">
        <v>157566.74</v>
      </c>
      <c r="E222" s="12" t="s">
        <v>598</v>
      </c>
      <c r="F222" s="12">
        <f>0.157189*1000</f>
        <v>157.18899999999999</v>
      </c>
      <c r="G222" s="12" t="s">
        <v>457</v>
      </c>
      <c r="H222" s="12" t="s">
        <v>457</v>
      </c>
      <c r="I222" s="12" t="s">
        <v>457</v>
      </c>
      <c r="J222" s="12" t="s">
        <v>457</v>
      </c>
    </row>
    <row r="223" spans="2:10" s="11" customFormat="1" ht="26.25">
      <c r="B223" s="18" t="s">
        <v>242</v>
      </c>
      <c r="C223" s="49" t="s">
        <v>282</v>
      </c>
      <c r="D223" s="7">
        <v>148733.94</v>
      </c>
      <c r="E223" s="12" t="s">
        <v>567</v>
      </c>
      <c r="F223" s="12">
        <f>0.148733*1000</f>
        <v>148.733</v>
      </c>
      <c r="G223" s="12" t="s">
        <v>457</v>
      </c>
      <c r="H223" s="12" t="s">
        <v>457</v>
      </c>
      <c r="I223" s="12" t="s">
        <v>457</v>
      </c>
      <c r="J223" s="12" t="s">
        <v>457</v>
      </c>
    </row>
    <row r="224" spans="2:10" s="11" customFormat="1" ht="26.25">
      <c r="B224" s="18" t="s">
        <v>243</v>
      </c>
      <c r="C224" s="49" t="s">
        <v>282</v>
      </c>
      <c r="D224" s="7">
        <v>148733.94</v>
      </c>
      <c r="E224" s="12" t="s">
        <v>583</v>
      </c>
      <c r="F224" s="12">
        <f>0.148733*1000</f>
        <v>148.733</v>
      </c>
      <c r="G224" s="12" t="s">
        <v>457</v>
      </c>
      <c r="H224" s="12" t="s">
        <v>457</v>
      </c>
      <c r="I224" s="12" t="s">
        <v>457</v>
      </c>
      <c r="J224" s="12" t="s">
        <v>457</v>
      </c>
    </row>
    <row r="225" spans="2:10" s="11" customFormat="1" ht="26.25">
      <c r="B225" s="18" t="s">
        <v>244</v>
      </c>
      <c r="C225" s="49" t="s">
        <v>282</v>
      </c>
      <c r="D225" s="7">
        <v>148733.94</v>
      </c>
      <c r="E225" s="12" t="s">
        <v>584</v>
      </c>
      <c r="F225" s="12">
        <f>0.148733*1000</f>
        <v>148.733</v>
      </c>
      <c r="G225" s="12" t="s">
        <v>457</v>
      </c>
      <c r="H225" s="12" t="s">
        <v>457</v>
      </c>
      <c r="I225" s="12" t="s">
        <v>457</v>
      </c>
      <c r="J225" s="12" t="s">
        <v>457</v>
      </c>
    </row>
    <row r="226" spans="2:10" s="11" customFormat="1" ht="26.25">
      <c r="B226" s="18" t="s">
        <v>245</v>
      </c>
      <c r="C226" s="49" t="s">
        <v>282</v>
      </c>
      <c r="D226" s="7">
        <v>179794.71</v>
      </c>
      <c r="E226" s="12" t="s">
        <v>576</v>
      </c>
      <c r="F226" s="12">
        <f>0.179794*1000</f>
        <v>179.79400000000001</v>
      </c>
      <c r="G226" s="12" t="s">
        <v>457</v>
      </c>
      <c r="H226" s="12" t="s">
        <v>457</v>
      </c>
      <c r="I226" s="12" t="s">
        <v>457</v>
      </c>
      <c r="J226" s="12" t="s">
        <v>457</v>
      </c>
    </row>
    <row r="227" spans="2:10" s="11" customFormat="1" ht="26.25">
      <c r="B227" s="18" t="s">
        <v>246</v>
      </c>
      <c r="C227" s="49" t="s">
        <v>282</v>
      </c>
      <c r="D227" s="7">
        <v>179794.71</v>
      </c>
      <c r="E227" s="12" t="s">
        <v>579</v>
      </c>
      <c r="F227" s="12">
        <f>0.179794*1000</f>
        <v>179.79400000000001</v>
      </c>
      <c r="G227" s="12" t="s">
        <v>457</v>
      </c>
      <c r="H227" s="12" t="s">
        <v>457</v>
      </c>
      <c r="I227" s="12" t="s">
        <v>457</v>
      </c>
      <c r="J227" s="12" t="s">
        <v>457</v>
      </c>
    </row>
    <row r="228" spans="2:10" s="11" customFormat="1" ht="26.25">
      <c r="B228" s="18" t="s">
        <v>247</v>
      </c>
      <c r="C228" s="49" t="s">
        <v>282</v>
      </c>
      <c r="D228" s="7">
        <v>179794.71</v>
      </c>
      <c r="E228" s="12" t="s">
        <v>586</v>
      </c>
      <c r="F228" s="12">
        <f>0.179794*1000</f>
        <v>179.79400000000001</v>
      </c>
      <c r="G228" s="12" t="s">
        <v>457</v>
      </c>
      <c r="H228" s="12" t="s">
        <v>457</v>
      </c>
      <c r="I228" s="12" t="s">
        <v>457</v>
      </c>
      <c r="J228" s="12" t="s">
        <v>457</v>
      </c>
    </row>
    <row r="229" spans="2:10" s="11" customFormat="1" ht="26.25">
      <c r="B229" s="18" t="s">
        <v>248</v>
      </c>
      <c r="C229" s="49" t="s">
        <v>282</v>
      </c>
      <c r="D229" s="7">
        <v>179794.71</v>
      </c>
      <c r="E229" s="12" t="s">
        <v>590</v>
      </c>
      <c r="F229" s="12">
        <f>0.179794*1000</f>
        <v>179.79400000000001</v>
      </c>
      <c r="G229" s="12" t="s">
        <v>457</v>
      </c>
      <c r="H229" s="12" t="s">
        <v>457</v>
      </c>
      <c r="I229" s="12" t="s">
        <v>457</v>
      </c>
      <c r="J229" s="12" t="s">
        <v>457</v>
      </c>
    </row>
    <row r="230" spans="2:10" s="11" customFormat="1" ht="26.25">
      <c r="B230" s="18" t="s">
        <v>249</v>
      </c>
      <c r="C230" s="49" t="s">
        <v>282</v>
      </c>
      <c r="D230" s="7">
        <v>179794.71</v>
      </c>
      <c r="E230" s="12" t="s">
        <v>591</v>
      </c>
      <c r="F230" s="12">
        <f>0.179794*1000</f>
        <v>179.79400000000001</v>
      </c>
      <c r="G230" s="12" t="s">
        <v>457</v>
      </c>
      <c r="H230" s="12" t="s">
        <v>457</v>
      </c>
      <c r="I230" s="12" t="s">
        <v>457</v>
      </c>
      <c r="J230" s="12" t="s">
        <v>457</v>
      </c>
    </row>
    <row r="231" spans="2:10" s="11" customFormat="1" ht="39">
      <c r="B231" s="18" t="s">
        <v>250</v>
      </c>
      <c r="C231" s="49" t="s">
        <v>282</v>
      </c>
      <c r="D231" s="7">
        <v>315133.48</v>
      </c>
      <c r="E231" s="12" t="s">
        <v>599</v>
      </c>
      <c r="F231" s="12">
        <f>0.315133*1000</f>
        <v>315.13299999999998</v>
      </c>
      <c r="G231" s="12" t="s">
        <v>457</v>
      </c>
      <c r="H231" s="12" t="s">
        <v>457</v>
      </c>
      <c r="I231" s="12" t="s">
        <v>457</v>
      </c>
      <c r="J231" s="12" t="s">
        <v>457</v>
      </c>
    </row>
    <row r="232" spans="2:10" s="11" customFormat="1" ht="39">
      <c r="B232" s="18" t="s">
        <v>251</v>
      </c>
      <c r="C232" s="49" t="s">
        <v>282</v>
      </c>
      <c r="D232" s="7">
        <v>315133.48</v>
      </c>
      <c r="E232" s="12" t="s">
        <v>600</v>
      </c>
      <c r="F232" s="12">
        <f>0.315133*1000</f>
        <v>315.13299999999998</v>
      </c>
      <c r="G232" s="12" t="s">
        <v>457</v>
      </c>
      <c r="H232" s="12" t="s">
        <v>457</v>
      </c>
      <c r="I232" s="12" t="s">
        <v>457</v>
      </c>
      <c r="J232" s="12" t="s">
        <v>457</v>
      </c>
    </row>
    <row r="233" spans="2:10" s="11" customFormat="1" ht="39">
      <c r="B233" s="18" t="s">
        <v>252</v>
      </c>
      <c r="C233" s="49" t="s">
        <v>282</v>
      </c>
      <c r="D233" s="7">
        <v>315133.48</v>
      </c>
      <c r="E233" s="12" t="s">
        <v>601</v>
      </c>
      <c r="F233" s="12">
        <f>0.315133*1000</f>
        <v>315.13299999999998</v>
      </c>
      <c r="G233" s="12" t="s">
        <v>457</v>
      </c>
      <c r="H233" s="12" t="s">
        <v>457</v>
      </c>
      <c r="I233" s="12" t="s">
        <v>457</v>
      </c>
      <c r="J233" s="12" t="s">
        <v>457</v>
      </c>
    </row>
    <row r="234" spans="2:10" s="11" customFormat="1" ht="39">
      <c r="B234" s="18" t="s">
        <v>253</v>
      </c>
      <c r="C234" s="49" t="s">
        <v>282</v>
      </c>
      <c r="D234" s="7">
        <v>315133.48</v>
      </c>
      <c r="E234" s="12" t="s">
        <v>615</v>
      </c>
      <c r="F234" s="12">
        <f>0.315133*1000</f>
        <v>315.13299999999998</v>
      </c>
      <c r="G234" s="12" t="s">
        <v>457</v>
      </c>
      <c r="H234" s="12" t="s">
        <v>457</v>
      </c>
      <c r="I234" s="12" t="s">
        <v>457</v>
      </c>
      <c r="J234" s="12" t="s">
        <v>457</v>
      </c>
    </row>
    <row r="235" spans="2:10" s="11" customFormat="1" ht="39">
      <c r="B235" s="18" t="s">
        <v>254</v>
      </c>
      <c r="C235" s="49" t="s">
        <v>282</v>
      </c>
      <c r="D235" s="7">
        <v>315133.48</v>
      </c>
      <c r="E235" s="12" t="s">
        <v>602</v>
      </c>
      <c r="F235" s="12">
        <f>0.315133*1000</f>
        <v>315.13299999999998</v>
      </c>
      <c r="G235" s="12" t="s">
        <v>457</v>
      </c>
      <c r="H235" s="12" t="s">
        <v>457</v>
      </c>
      <c r="I235" s="12" t="s">
        <v>457</v>
      </c>
      <c r="J235" s="12" t="s">
        <v>457</v>
      </c>
    </row>
    <row r="236" spans="2:10" s="11" customFormat="1" ht="26.25">
      <c r="B236" s="18" t="s">
        <v>255</v>
      </c>
      <c r="C236" s="49" t="s">
        <v>282</v>
      </c>
      <c r="D236" s="7">
        <v>136262.64000000001</v>
      </c>
      <c r="E236" s="12" t="s">
        <v>588</v>
      </c>
      <c r="F236" s="12">
        <f>0.136262*1000</f>
        <v>136.262</v>
      </c>
      <c r="G236" s="12" t="s">
        <v>457</v>
      </c>
      <c r="H236" s="12" t="s">
        <v>457</v>
      </c>
      <c r="I236" s="12" t="s">
        <v>457</v>
      </c>
      <c r="J236" s="12" t="s">
        <v>457</v>
      </c>
    </row>
    <row r="237" spans="2:10" s="11" customFormat="1" ht="26.25">
      <c r="B237" s="18" t="s">
        <v>256</v>
      </c>
      <c r="C237" s="49" t="s">
        <v>282</v>
      </c>
      <c r="D237" s="7">
        <v>136262.64000000001</v>
      </c>
      <c r="E237" s="12" t="s">
        <v>581</v>
      </c>
      <c r="F237" s="12">
        <f>0.136262*1000</f>
        <v>136.262</v>
      </c>
      <c r="G237" s="12" t="s">
        <v>457</v>
      </c>
      <c r="H237" s="12" t="s">
        <v>457</v>
      </c>
      <c r="I237" s="12" t="s">
        <v>457</v>
      </c>
      <c r="J237" s="12" t="s">
        <v>457</v>
      </c>
    </row>
    <row r="238" spans="2:10" s="11" customFormat="1" ht="26.25">
      <c r="B238" s="18" t="s">
        <v>257</v>
      </c>
      <c r="C238" s="49" t="s">
        <v>282</v>
      </c>
      <c r="D238" s="7">
        <v>157566.74</v>
      </c>
      <c r="E238" s="12" t="s">
        <v>610</v>
      </c>
      <c r="F238" s="12">
        <f>0.157566*1000</f>
        <v>157.566</v>
      </c>
      <c r="G238" s="12" t="s">
        <v>457</v>
      </c>
      <c r="H238" s="12" t="s">
        <v>457</v>
      </c>
      <c r="I238" s="12" t="s">
        <v>457</v>
      </c>
      <c r="J238" s="12" t="s">
        <v>457</v>
      </c>
    </row>
    <row r="239" spans="2:10" s="11" customFormat="1" ht="26.25">
      <c r="B239" s="18" t="s">
        <v>258</v>
      </c>
      <c r="C239" s="49" t="s">
        <v>282</v>
      </c>
      <c r="D239" s="7">
        <v>148733.94</v>
      </c>
      <c r="E239" s="12" t="s">
        <v>611</v>
      </c>
      <c r="F239" s="12">
        <f>0.148733*1000</f>
        <v>148.733</v>
      </c>
      <c r="G239" s="12" t="s">
        <v>457</v>
      </c>
      <c r="H239" s="12" t="s">
        <v>457</v>
      </c>
      <c r="I239" s="12" t="s">
        <v>457</v>
      </c>
      <c r="J239" s="12" t="s">
        <v>457</v>
      </c>
    </row>
    <row r="240" spans="2:10" s="11" customFormat="1" ht="26.25">
      <c r="B240" s="18" t="s">
        <v>259</v>
      </c>
      <c r="C240" s="49" t="s">
        <v>282</v>
      </c>
      <c r="D240" s="7">
        <v>157566.74</v>
      </c>
      <c r="E240" s="36"/>
      <c r="F240" s="12">
        <f>0.157566*1000</f>
        <v>157.566</v>
      </c>
      <c r="G240" s="12" t="s">
        <v>457</v>
      </c>
      <c r="H240" s="12" t="s">
        <v>457</v>
      </c>
      <c r="I240" s="12" t="s">
        <v>457</v>
      </c>
      <c r="J240" s="12" t="s">
        <v>457</v>
      </c>
    </row>
    <row r="241" spans="2:10" s="11" customFormat="1" ht="26.25">
      <c r="B241" s="18" t="s">
        <v>260</v>
      </c>
      <c r="C241" s="49" t="s">
        <v>282</v>
      </c>
      <c r="D241" s="7">
        <v>148733.94</v>
      </c>
      <c r="E241" s="12" t="s">
        <v>612</v>
      </c>
      <c r="F241" s="12">
        <f>0.148733*1000</f>
        <v>148.733</v>
      </c>
      <c r="G241" s="12" t="s">
        <v>457</v>
      </c>
      <c r="H241" s="12" t="s">
        <v>457</v>
      </c>
      <c r="I241" s="12" t="s">
        <v>457</v>
      </c>
      <c r="J241" s="12" t="s">
        <v>457</v>
      </c>
    </row>
    <row r="242" spans="2:10" s="11" customFormat="1" ht="26.25">
      <c r="B242" s="18" t="s">
        <v>261</v>
      </c>
      <c r="C242" s="49" t="s">
        <v>282</v>
      </c>
      <c r="D242" s="7">
        <v>157048.14000000001</v>
      </c>
      <c r="E242" s="12" t="s">
        <v>609</v>
      </c>
      <c r="F242" s="12">
        <f>0.157566*1000</f>
        <v>157.566</v>
      </c>
      <c r="G242" s="12" t="s">
        <v>457</v>
      </c>
      <c r="H242" s="12" t="s">
        <v>457</v>
      </c>
      <c r="I242" s="12" t="s">
        <v>457</v>
      </c>
      <c r="J242" s="12" t="s">
        <v>457</v>
      </c>
    </row>
    <row r="243" spans="2:10" s="11" customFormat="1" ht="26.25">
      <c r="B243" s="18" t="s">
        <v>262</v>
      </c>
      <c r="C243" s="49" t="s">
        <v>282</v>
      </c>
      <c r="D243" s="7">
        <v>157566.74</v>
      </c>
      <c r="E243" s="12" t="s">
        <v>607</v>
      </c>
      <c r="F243" s="12">
        <f>0.157566*1000</f>
        <v>157.566</v>
      </c>
      <c r="G243" s="12" t="s">
        <v>457</v>
      </c>
      <c r="H243" s="12" t="s">
        <v>457</v>
      </c>
      <c r="I243" s="12" t="s">
        <v>457</v>
      </c>
      <c r="J243" s="12" t="s">
        <v>457</v>
      </c>
    </row>
    <row r="244" spans="2:10" s="11" customFormat="1" ht="26.25">
      <c r="B244" s="18" t="s">
        <v>263</v>
      </c>
      <c r="C244" s="49" t="s">
        <v>282</v>
      </c>
      <c r="D244" s="7">
        <v>125083.35</v>
      </c>
      <c r="E244" s="12" t="s">
        <v>608</v>
      </c>
      <c r="F244" s="12">
        <f>0.125083*1000</f>
        <v>125.083</v>
      </c>
      <c r="G244" s="12" t="s">
        <v>457</v>
      </c>
      <c r="H244" s="12" t="s">
        <v>457</v>
      </c>
      <c r="I244" s="12" t="s">
        <v>457</v>
      </c>
      <c r="J244" s="12" t="s">
        <v>457</v>
      </c>
    </row>
    <row r="245" spans="2:10" s="11" customFormat="1" ht="26.25">
      <c r="B245" s="18" t="s">
        <v>264</v>
      </c>
      <c r="C245" s="49" t="s">
        <v>282</v>
      </c>
      <c r="D245" s="7">
        <v>179794.71</v>
      </c>
      <c r="E245" s="12" t="s">
        <v>604</v>
      </c>
      <c r="F245" s="12">
        <f>0.179794*1000</f>
        <v>179.79400000000001</v>
      </c>
      <c r="G245" s="12" t="s">
        <v>457</v>
      </c>
      <c r="H245" s="12" t="s">
        <v>457</v>
      </c>
      <c r="I245" s="12" t="s">
        <v>457</v>
      </c>
      <c r="J245" s="12" t="s">
        <v>457</v>
      </c>
    </row>
    <row r="246" spans="2:10" s="11" customFormat="1" ht="26.25">
      <c r="B246" s="18" t="s">
        <v>265</v>
      </c>
      <c r="C246" s="49" t="s">
        <v>282</v>
      </c>
      <c r="D246" s="7">
        <v>157566.74</v>
      </c>
      <c r="E246" s="12" t="s">
        <v>605</v>
      </c>
      <c r="F246" s="12">
        <f>0.157566*1000</f>
        <v>157.566</v>
      </c>
      <c r="G246" s="12" t="s">
        <v>457</v>
      </c>
      <c r="H246" s="12" t="s">
        <v>457</v>
      </c>
      <c r="I246" s="12" t="s">
        <v>457</v>
      </c>
      <c r="J246" s="12" t="s">
        <v>457</v>
      </c>
    </row>
    <row r="247" spans="2:10" s="11" customFormat="1" ht="26.25">
      <c r="B247" s="18" t="s">
        <v>266</v>
      </c>
      <c r="C247" s="49" t="s">
        <v>282</v>
      </c>
      <c r="D247" s="7">
        <v>157048.14000000001</v>
      </c>
      <c r="E247" s="12" t="s">
        <v>606</v>
      </c>
      <c r="F247" s="12">
        <f>0.157566*1000</f>
        <v>157.566</v>
      </c>
      <c r="G247" s="12" t="s">
        <v>457</v>
      </c>
      <c r="H247" s="12" t="s">
        <v>457</v>
      </c>
      <c r="I247" s="12" t="s">
        <v>457</v>
      </c>
      <c r="J247" s="12" t="s">
        <v>457</v>
      </c>
    </row>
    <row r="248" spans="2:10" s="11" customFormat="1" ht="26.25">
      <c r="B248" s="18" t="s">
        <v>267</v>
      </c>
      <c r="C248" s="49" t="s">
        <v>282</v>
      </c>
      <c r="D248" s="7">
        <v>157566.74</v>
      </c>
      <c r="E248" s="12" t="s">
        <v>603</v>
      </c>
      <c r="F248" s="12">
        <f>0.157566*1000</f>
        <v>157.566</v>
      </c>
      <c r="G248" s="12" t="s">
        <v>457</v>
      </c>
      <c r="H248" s="12" t="s">
        <v>457</v>
      </c>
      <c r="I248" s="12" t="s">
        <v>457</v>
      </c>
      <c r="J248" s="12" t="s">
        <v>457</v>
      </c>
    </row>
    <row r="249" spans="2:10" s="11" customFormat="1" ht="26.25">
      <c r="B249" s="18" t="s">
        <v>269</v>
      </c>
      <c r="C249" s="49" t="s">
        <v>282</v>
      </c>
      <c r="D249" s="7">
        <v>915008.38</v>
      </c>
      <c r="E249" s="12" t="s">
        <v>667</v>
      </c>
      <c r="F249" s="12">
        <f>0.915008*1000</f>
        <v>915.00800000000004</v>
      </c>
      <c r="G249" s="12" t="s">
        <v>457</v>
      </c>
      <c r="H249" s="12" t="s">
        <v>457</v>
      </c>
      <c r="I249" s="12" t="s">
        <v>457</v>
      </c>
      <c r="J249" s="12" t="s">
        <v>457</v>
      </c>
    </row>
    <row r="250" spans="2:10" s="11" customFormat="1" ht="26.25">
      <c r="B250" s="18" t="s">
        <v>270</v>
      </c>
      <c r="C250" s="49" t="s">
        <v>282</v>
      </c>
      <c r="D250" s="7">
        <v>110307.7</v>
      </c>
      <c r="E250" s="12" t="s">
        <v>509</v>
      </c>
      <c r="F250" s="12">
        <f>0.110307*1000</f>
        <v>110.307</v>
      </c>
      <c r="G250" s="12" t="s">
        <v>457</v>
      </c>
      <c r="H250" s="12" t="s">
        <v>457</v>
      </c>
      <c r="I250" s="12" t="s">
        <v>457</v>
      </c>
      <c r="J250" s="12" t="s">
        <v>457</v>
      </c>
    </row>
    <row r="251" spans="2:10" s="11" customFormat="1" ht="51.75">
      <c r="B251" s="18" t="s">
        <v>271</v>
      </c>
      <c r="C251" s="49" t="s">
        <v>282</v>
      </c>
      <c r="D251" s="7">
        <v>96281.31</v>
      </c>
      <c r="E251" s="12" t="s">
        <v>508</v>
      </c>
      <c r="F251" s="12">
        <f>0.096281*1000</f>
        <v>96.281000000000006</v>
      </c>
      <c r="G251" s="12" t="s">
        <v>457</v>
      </c>
      <c r="H251" s="12" t="s">
        <v>457</v>
      </c>
      <c r="I251" s="12" t="s">
        <v>457</v>
      </c>
      <c r="J251" s="12" t="s">
        <v>457</v>
      </c>
    </row>
    <row r="252" spans="2:10" s="11" customFormat="1" ht="51.75">
      <c r="B252" s="18" t="s">
        <v>272</v>
      </c>
      <c r="C252" s="49" t="s">
        <v>282</v>
      </c>
      <c r="D252" s="7">
        <v>114996.67</v>
      </c>
      <c r="E252" s="12" t="s">
        <v>507</v>
      </c>
      <c r="F252" s="12">
        <f>0.114996*1000</f>
        <v>114.996</v>
      </c>
      <c r="G252" s="12" t="s">
        <v>457</v>
      </c>
      <c r="H252" s="12" t="s">
        <v>457</v>
      </c>
      <c r="I252" s="12" t="s">
        <v>457</v>
      </c>
      <c r="J252" s="12" t="s">
        <v>457</v>
      </c>
    </row>
    <row r="253" spans="2:10" s="11" customFormat="1" ht="26.25">
      <c r="B253" s="18" t="s">
        <v>273</v>
      </c>
      <c r="C253" s="49" t="s">
        <v>282</v>
      </c>
      <c r="D253" s="7">
        <v>71317.83</v>
      </c>
      <c r="E253" s="12" t="s">
        <v>500</v>
      </c>
      <c r="F253" s="12">
        <f>0.071317*1000</f>
        <v>71.317000000000007</v>
      </c>
      <c r="G253" s="12" t="s">
        <v>457</v>
      </c>
      <c r="H253" s="12" t="s">
        <v>457</v>
      </c>
      <c r="I253" s="12" t="s">
        <v>457</v>
      </c>
      <c r="J253" s="12" t="s">
        <v>457</v>
      </c>
    </row>
    <row r="254" spans="2:10" s="11" customFormat="1" ht="26.25">
      <c r="B254" s="18" t="s">
        <v>274</v>
      </c>
      <c r="C254" s="49" t="s">
        <v>282</v>
      </c>
      <c r="D254" s="7">
        <v>43616.85</v>
      </c>
      <c r="E254" s="12" t="s">
        <v>501</v>
      </c>
      <c r="F254" s="12">
        <f>0.043616*1000</f>
        <v>43.616</v>
      </c>
      <c r="G254" s="12" t="s">
        <v>457</v>
      </c>
      <c r="H254" s="12" t="s">
        <v>457</v>
      </c>
      <c r="I254" s="12" t="s">
        <v>457</v>
      </c>
      <c r="J254" s="12" t="s">
        <v>457</v>
      </c>
    </row>
    <row r="255" spans="2:10" s="11" customFormat="1">
      <c r="B255" s="18" t="s">
        <v>275</v>
      </c>
      <c r="C255" s="49" t="s">
        <v>282</v>
      </c>
      <c r="D255" s="7">
        <v>22228.91</v>
      </c>
      <c r="E255" s="12" t="s">
        <v>502</v>
      </c>
      <c r="F255" s="12">
        <f>0.022228*1000</f>
        <v>22.228000000000002</v>
      </c>
      <c r="G255" s="12" t="s">
        <v>457</v>
      </c>
      <c r="H255" s="12" t="s">
        <v>457</v>
      </c>
      <c r="I255" s="12" t="s">
        <v>457</v>
      </c>
      <c r="J255" s="12" t="s">
        <v>457</v>
      </c>
    </row>
    <row r="256" spans="2:10" s="11" customFormat="1">
      <c r="B256" s="18" t="s">
        <v>276</v>
      </c>
      <c r="C256" s="49" t="s">
        <v>282</v>
      </c>
      <c r="D256" s="7">
        <v>45254.38</v>
      </c>
      <c r="E256" s="12" t="s">
        <v>503</v>
      </c>
      <c r="F256" s="12">
        <f>0.045254*1000</f>
        <v>45.254000000000005</v>
      </c>
      <c r="G256" s="12" t="s">
        <v>457</v>
      </c>
      <c r="H256" s="12" t="s">
        <v>457</v>
      </c>
      <c r="I256" s="12" t="s">
        <v>457</v>
      </c>
      <c r="J256" s="12" t="s">
        <v>457</v>
      </c>
    </row>
    <row r="257" spans="2:10" s="11" customFormat="1" ht="26.25">
      <c r="B257" s="18" t="s">
        <v>277</v>
      </c>
      <c r="C257" s="49" t="s">
        <v>282</v>
      </c>
      <c r="D257" s="7">
        <v>59957.8</v>
      </c>
      <c r="E257" s="12" t="s">
        <v>504</v>
      </c>
      <c r="F257" s="12">
        <f>0.059957*1000</f>
        <v>59.957000000000001</v>
      </c>
      <c r="G257" s="12" t="s">
        <v>457</v>
      </c>
      <c r="H257" s="12" t="s">
        <v>457</v>
      </c>
      <c r="I257" s="12" t="s">
        <v>457</v>
      </c>
      <c r="J257" s="12" t="s">
        <v>457</v>
      </c>
    </row>
    <row r="258" spans="2:10" s="11" customFormat="1" ht="26.25">
      <c r="B258" s="18" t="s">
        <v>278</v>
      </c>
      <c r="C258" s="49" t="s">
        <v>282</v>
      </c>
      <c r="D258" s="7">
        <v>24312.959999999999</v>
      </c>
      <c r="E258" s="12" t="s">
        <v>505</v>
      </c>
      <c r="F258" s="12">
        <f>0.024947*1000</f>
        <v>24.946999999999999</v>
      </c>
      <c r="G258" s="12" t="s">
        <v>457</v>
      </c>
      <c r="H258" s="12" t="s">
        <v>457</v>
      </c>
      <c r="I258" s="12" t="s">
        <v>457</v>
      </c>
      <c r="J258" s="12" t="s">
        <v>457</v>
      </c>
    </row>
    <row r="259" spans="2:10" s="11" customFormat="1" ht="26.25">
      <c r="B259" s="18" t="s">
        <v>279</v>
      </c>
      <c r="C259" s="49" t="s">
        <v>282</v>
      </c>
      <c r="D259" s="7">
        <v>21871.37</v>
      </c>
      <c r="E259" s="12" t="s">
        <v>499</v>
      </c>
      <c r="F259" s="12">
        <f>0.021871*1000</f>
        <v>21.871000000000002</v>
      </c>
      <c r="G259" s="12" t="s">
        <v>457</v>
      </c>
      <c r="H259" s="12" t="s">
        <v>457</v>
      </c>
      <c r="I259" s="12" t="s">
        <v>457</v>
      </c>
      <c r="J259" s="12" t="s">
        <v>457</v>
      </c>
    </row>
    <row r="260" spans="2:10" s="11" customFormat="1" ht="39">
      <c r="B260" s="18" t="s">
        <v>280</v>
      </c>
      <c r="C260" s="49" t="s">
        <v>282</v>
      </c>
      <c r="D260" s="7">
        <v>99428.66</v>
      </c>
      <c r="E260" s="12" t="s">
        <v>498</v>
      </c>
      <c r="F260" s="12">
        <f>0.099428*1000</f>
        <v>99.427999999999997</v>
      </c>
      <c r="G260" s="12" t="s">
        <v>457</v>
      </c>
      <c r="H260" s="12" t="s">
        <v>457</v>
      </c>
      <c r="I260" s="12" t="s">
        <v>457</v>
      </c>
      <c r="J260" s="12" t="s">
        <v>457</v>
      </c>
    </row>
    <row r="261" spans="2:10" s="11" customFormat="1" ht="39">
      <c r="B261" s="18" t="s">
        <v>281</v>
      </c>
      <c r="C261" s="49" t="s">
        <v>282</v>
      </c>
      <c r="D261" s="7">
        <v>38216.629999999997</v>
      </c>
      <c r="E261" s="12" t="s">
        <v>506</v>
      </c>
      <c r="F261" s="12">
        <f>0.038216*1000</f>
        <v>38.216000000000001</v>
      </c>
      <c r="G261" s="12" t="s">
        <v>457</v>
      </c>
      <c r="H261" s="12" t="s">
        <v>457</v>
      </c>
      <c r="I261" s="12" t="s">
        <v>457</v>
      </c>
      <c r="J261" s="12" t="s">
        <v>457</v>
      </c>
    </row>
    <row r="262" spans="2:10" s="11" customFormat="1" ht="39">
      <c r="B262" s="18" t="s">
        <v>283</v>
      </c>
      <c r="C262" s="49" t="s">
        <v>282</v>
      </c>
      <c r="D262" s="7">
        <v>259504.39</v>
      </c>
      <c r="E262" s="12" t="s">
        <v>403</v>
      </c>
      <c r="F262" s="12">
        <f>0.2595004*1000</f>
        <v>259.50040000000001</v>
      </c>
      <c r="G262" s="12" t="s">
        <v>457</v>
      </c>
      <c r="H262" s="12" t="s">
        <v>457</v>
      </c>
      <c r="I262" s="12" t="s">
        <v>457</v>
      </c>
      <c r="J262" s="12" t="s">
        <v>457</v>
      </c>
    </row>
    <row r="263" spans="2:10" s="11" customFormat="1" ht="39">
      <c r="B263" s="18" t="s">
        <v>284</v>
      </c>
      <c r="C263" s="49" t="s">
        <v>282</v>
      </c>
      <c r="D263" s="7">
        <v>286067.84999999998</v>
      </c>
      <c r="E263" s="12" t="s">
        <v>402</v>
      </c>
      <c r="F263" s="12">
        <f>0.286067*1000</f>
        <v>286.06700000000001</v>
      </c>
      <c r="G263" s="12" t="s">
        <v>457</v>
      </c>
      <c r="H263" s="12" t="s">
        <v>457</v>
      </c>
      <c r="I263" s="12" t="s">
        <v>457</v>
      </c>
      <c r="J263" s="12" t="s">
        <v>457</v>
      </c>
    </row>
    <row r="264" spans="2:10" s="11" customFormat="1" ht="51.75">
      <c r="B264" s="18" t="s">
        <v>285</v>
      </c>
      <c r="C264" s="49" t="s">
        <v>282</v>
      </c>
      <c r="D264" s="7">
        <v>485240.79</v>
      </c>
      <c r="E264" s="12" t="s">
        <v>404</v>
      </c>
      <c r="F264" s="12">
        <f>0.48524*1000</f>
        <v>485.24</v>
      </c>
      <c r="G264" s="12" t="s">
        <v>457</v>
      </c>
      <c r="H264" s="12" t="s">
        <v>457</v>
      </c>
      <c r="I264" s="12" t="s">
        <v>457</v>
      </c>
      <c r="J264" s="12" t="s">
        <v>457</v>
      </c>
    </row>
    <row r="265" spans="2:10" s="11" customFormat="1" ht="23.25" customHeight="1">
      <c r="B265" s="37" t="s">
        <v>26</v>
      </c>
      <c r="C265" s="38"/>
      <c r="D265" s="39">
        <f>SUM(D7:D264)</f>
        <v>63346815.747110039</v>
      </c>
      <c r="E265" s="36"/>
      <c r="F265" s="40">
        <f>SUM(F7:F264)</f>
        <v>63089.969400000009</v>
      </c>
      <c r="G265" s="12" t="s">
        <v>457</v>
      </c>
      <c r="H265" s="12" t="s">
        <v>457</v>
      </c>
      <c r="I265" s="12" t="s">
        <v>457</v>
      </c>
      <c r="J265" s="12" t="s">
        <v>457</v>
      </c>
    </row>
    <row r="266" spans="2:10" s="11" customFormat="1">
      <c r="C266" s="41"/>
      <c r="E266" s="42"/>
      <c r="F266" s="42"/>
    </row>
    <row r="267" spans="2:10" s="11" customFormat="1">
      <c r="C267" s="41"/>
      <c r="E267" s="42"/>
      <c r="F267" s="42"/>
    </row>
    <row r="268" spans="2:10" s="11" customFormat="1">
      <c r="B268" s="11" t="s">
        <v>12</v>
      </c>
      <c r="C268" s="43" t="s">
        <v>15</v>
      </c>
      <c r="E268" s="44"/>
      <c r="F268" s="42"/>
    </row>
    <row r="269" spans="2:10" s="11" customFormat="1">
      <c r="B269" s="45" t="s">
        <v>14</v>
      </c>
      <c r="C269" s="46" t="s">
        <v>13</v>
      </c>
      <c r="D269" s="23" t="s">
        <v>670</v>
      </c>
      <c r="E269" s="47"/>
      <c r="F269" s="42"/>
    </row>
    <row r="270" spans="2:10" s="11" customFormat="1">
      <c r="C270" s="41"/>
      <c r="E270" s="42"/>
      <c r="F270" s="42"/>
    </row>
    <row r="271" spans="2:10" s="11" customFormat="1">
      <c r="C271" s="41"/>
      <c r="E271" s="42"/>
      <c r="F271" s="42"/>
    </row>
  </sheetData>
  <customSheetViews>
    <customSheetView guid="{32804526-0746-47BD-964F-D9E07D890F54}">
      <pane xSplit="2" ySplit="6" topLeftCell="C256" activePane="bottomRight" state="frozen"/>
      <selection pane="bottomRight" activeCell="G263" sqref="G263"/>
      <pageMargins left="0.7" right="0.7" top="0.75" bottom="0.75" header="0.3" footer="0.3"/>
      <pageSetup paperSize="9" orientation="portrait" r:id="rId1"/>
    </customSheetView>
    <customSheetView guid="{586B0D0F-AFD5-489E-A810-F5CDD42644EC}" showPageBreaks="1" fitToPage="1">
      <pane xSplit="2" ySplit="6" topLeftCell="C7" activePane="bottomRight" state="frozen"/>
      <selection pane="bottomRight" activeCell="B2" sqref="B2:J2"/>
      <pageMargins left="0.70866141732283472" right="0.70866141732283472" top="0.74803149606299213" bottom="0.74803149606299213" header="0.31496062992125984" footer="0.31496062992125984"/>
      <pageSetup paperSize="9" scale="62" fitToHeight="0" orientation="landscape" r:id="rId2"/>
    </customSheetView>
  </customSheetViews>
  <mergeCells count="11">
    <mergeCell ref="B2:J2"/>
    <mergeCell ref="F4:J4"/>
    <mergeCell ref="B5:B6"/>
    <mergeCell ref="B183:B185"/>
    <mergeCell ref="C183:C185"/>
    <mergeCell ref="D183:D185"/>
    <mergeCell ref="C5:C6"/>
    <mergeCell ref="D5:D6"/>
    <mergeCell ref="E5:F5"/>
    <mergeCell ref="G5:H5"/>
    <mergeCell ref="I5:J5"/>
  </mergeCells>
  <pageMargins left="0.7" right="0.7" top="0.75" bottom="0.75" header="0.3" footer="0.3"/>
  <pageSetup paperSize="9" orientation="portrait" r:id="rId3"/>
  <ignoredErrors>
    <ignoredError sqref="F109 F16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G269"/>
  <sheetViews>
    <sheetView workbookViewId="0">
      <selection activeCell="C24" sqref="C24"/>
    </sheetView>
  </sheetViews>
  <sheetFormatPr defaultRowHeight="15.75"/>
  <cols>
    <col min="1" max="1" width="6.140625" style="29" customWidth="1"/>
    <col min="2" max="3" width="33.140625" style="1" customWidth="1"/>
    <col min="4" max="4" width="15.85546875" style="30" customWidth="1"/>
    <col min="5" max="5" width="10" style="30" customWidth="1"/>
    <col min="6" max="6" width="23.140625" style="1" customWidth="1"/>
    <col min="7" max="7" width="22.140625" style="1" customWidth="1"/>
    <col min="8" max="16384" width="9.140625" style="1"/>
  </cols>
  <sheetData>
    <row r="1" spans="1:7">
      <c r="A1" s="58"/>
      <c r="B1" s="57"/>
      <c r="C1" s="57"/>
      <c r="D1" s="59"/>
      <c r="E1" s="59"/>
      <c r="F1" s="57"/>
      <c r="G1" s="57"/>
    </row>
    <row r="2" spans="1:7" ht="18.75">
      <c r="A2" s="58"/>
      <c r="B2" s="60"/>
      <c r="C2" s="60"/>
      <c r="D2" s="60"/>
      <c r="E2" s="60"/>
      <c r="F2" s="60"/>
      <c r="G2" s="60"/>
    </row>
    <row r="3" spans="1:7">
      <c r="A3" s="58"/>
      <c r="B3" s="57"/>
      <c r="C3" s="57"/>
      <c r="D3" s="59"/>
      <c r="E3" s="59"/>
      <c r="F3" s="57"/>
      <c r="G3" s="57"/>
    </row>
    <row r="4" spans="1:7" s="26" customFormat="1" ht="15.75" customHeight="1">
      <c r="A4" s="43"/>
      <c r="B4" s="43"/>
      <c r="C4" s="43"/>
      <c r="D4" s="61"/>
      <c r="E4" s="61"/>
      <c r="F4" s="43"/>
      <c r="G4" s="43"/>
    </row>
    <row r="5" spans="1:7" s="26" customFormat="1" ht="64.5" customHeight="1">
      <c r="A5" s="62"/>
      <c r="B5" s="62"/>
      <c r="C5" s="62"/>
      <c r="D5" s="63"/>
      <c r="E5" s="64"/>
      <c r="F5" s="62"/>
      <c r="G5" s="62"/>
    </row>
    <row r="6" spans="1:7" s="28" customFormat="1" ht="63" customHeight="1">
      <c r="A6" s="62"/>
      <c r="B6" s="62"/>
      <c r="C6" s="62"/>
      <c r="D6" s="63"/>
      <c r="E6" s="64"/>
      <c r="F6" s="65"/>
      <c r="G6" s="65"/>
    </row>
    <row r="7" spans="1:7">
      <c r="A7" s="66"/>
      <c r="B7" s="67"/>
      <c r="C7" s="67"/>
      <c r="D7" s="68"/>
      <c r="E7" s="68"/>
      <c r="F7" s="69"/>
      <c r="G7" s="69"/>
    </row>
    <row r="8" spans="1:7">
      <c r="A8" s="66"/>
      <c r="B8" s="67"/>
      <c r="C8" s="67"/>
      <c r="D8" s="68"/>
      <c r="E8" s="68"/>
      <c r="F8" s="69"/>
      <c r="G8" s="69"/>
    </row>
    <row r="9" spans="1:7">
      <c r="A9" s="66"/>
      <c r="B9" s="67"/>
      <c r="C9" s="67"/>
      <c r="D9" s="68"/>
      <c r="E9" s="68"/>
      <c r="F9" s="69"/>
      <c r="G9" s="69"/>
    </row>
    <row r="10" spans="1:7">
      <c r="A10" s="66"/>
      <c r="B10" s="67"/>
      <c r="C10" s="67"/>
      <c r="D10" s="68"/>
      <c r="E10" s="68"/>
      <c r="F10" s="69"/>
      <c r="G10" s="69"/>
    </row>
    <row r="11" spans="1:7">
      <c r="A11" s="66"/>
      <c r="B11" s="67"/>
      <c r="C11" s="67"/>
      <c r="D11" s="68"/>
      <c r="E11" s="68"/>
      <c r="F11" s="69"/>
      <c r="G11" s="69"/>
    </row>
    <row r="12" spans="1:7">
      <c r="A12" s="66"/>
      <c r="B12" s="67"/>
      <c r="C12" s="67"/>
      <c r="D12" s="68"/>
      <c r="E12" s="68"/>
      <c r="F12" s="69"/>
      <c r="G12" s="69"/>
    </row>
    <row r="13" spans="1:7">
      <c r="A13" s="66"/>
      <c r="B13" s="67"/>
      <c r="C13" s="67"/>
      <c r="D13" s="68"/>
      <c r="E13" s="68"/>
      <c r="F13" s="69"/>
      <c r="G13" s="69"/>
    </row>
    <row r="14" spans="1:7">
      <c r="A14" s="66"/>
      <c r="B14" s="67"/>
      <c r="C14" s="67"/>
      <c r="D14" s="68"/>
      <c r="E14" s="68"/>
      <c r="F14" s="69"/>
      <c r="G14" s="69"/>
    </row>
    <row r="15" spans="1:7">
      <c r="A15" s="66"/>
      <c r="B15" s="70"/>
      <c r="C15" s="67"/>
      <c r="D15" s="71"/>
      <c r="E15" s="71"/>
      <c r="F15" s="69"/>
      <c r="G15" s="69"/>
    </row>
    <row r="16" spans="1:7">
      <c r="A16" s="66"/>
      <c r="B16" s="70"/>
      <c r="C16" s="67"/>
      <c r="D16" s="68"/>
      <c r="E16" s="68"/>
      <c r="F16" s="69"/>
      <c r="G16" s="69"/>
    </row>
    <row r="17" spans="1:7">
      <c r="A17" s="66"/>
      <c r="B17" s="70"/>
      <c r="C17" s="67"/>
      <c r="D17" s="68"/>
      <c r="E17" s="68"/>
      <c r="F17" s="69"/>
      <c r="G17" s="69"/>
    </row>
    <row r="18" spans="1:7">
      <c r="A18" s="66"/>
      <c r="B18" s="70"/>
      <c r="C18" s="70"/>
      <c r="D18" s="68"/>
      <c r="E18" s="68"/>
      <c r="F18" s="69"/>
      <c r="G18" s="69"/>
    </row>
    <row r="19" spans="1:7">
      <c r="A19" s="66"/>
      <c r="B19" s="70"/>
      <c r="C19" s="67"/>
      <c r="D19" s="72"/>
      <c r="E19" s="72"/>
      <c r="F19" s="69"/>
      <c r="G19" s="69"/>
    </row>
    <row r="20" spans="1:7">
      <c r="A20" s="66"/>
      <c r="B20" s="70"/>
      <c r="C20" s="67"/>
      <c r="D20" s="72"/>
      <c r="E20" s="72"/>
      <c r="F20" s="69"/>
      <c r="G20" s="69"/>
    </row>
    <row r="21" spans="1:7">
      <c r="A21" s="66"/>
      <c r="B21" s="70"/>
      <c r="C21" s="67"/>
      <c r="D21" s="68"/>
      <c r="E21" s="68"/>
      <c r="F21" s="69"/>
      <c r="G21" s="73"/>
    </row>
    <row r="22" spans="1:7">
      <c r="A22" s="66"/>
      <c r="B22" s="70"/>
      <c r="C22" s="70"/>
      <c r="D22" s="68"/>
      <c r="E22" s="68"/>
      <c r="F22" s="69"/>
      <c r="G22" s="69"/>
    </row>
    <row r="23" spans="1:7">
      <c r="A23" s="66"/>
      <c r="B23" s="70"/>
      <c r="C23" s="67"/>
      <c r="D23" s="68"/>
      <c r="E23" s="68"/>
      <c r="F23" s="69"/>
      <c r="G23" s="73"/>
    </row>
    <row r="24" spans="1:7">
      <c r="A24" s="66"/>
      <c r="B24" s="70"/>
      <c r="C24" s="67"/>
      <c r="D24" s="72"/>
      <c r="E24" s="72"/>
      <c r="F24" s="69"/>
      <c r="G24" s="73"/>
    </row>
    <row r="25" spans="1:7">
      <c r="A25" s="66"/>
      <c r="B25" s="70"/>
      <c r="C25" s="67"/>
      <c r="D25" s="68"/>
      <c r="E25" s="68"/>
      <c r="F25" s="69"/>
      <c r="G25" s="73"/>
    </row>
    <row r="26" spans="1:7">
      <c r="A26" s="66"/>
      <c r="B26" s="70"/>
      <c r="C26" s="67"/>
      <c r="D26" s="68"/>
      <c r="E26" s="68"/>
      <c r="F26" s="69"/>
      <c r="G26" s="73"/>
    </row>
    <row r="27" spans="1:7">
      <c r="A27" s="66"/>
      <c r="B27" s="70"/>
      <c r="C27" s="67"/>
      <c r="D27" s="72"/>
      <c r="E27" s="72"/>
      <c r="F27" s="69"/>
      <c r="G27" s="73"/>
    </row>
    <row r="28" spans="1:7">
      <c r="A28" s="66"/>
      <c r="B28" s="70"/>
      <c r="C28" s="67"/>
      <c r="D28" s="72"/>
      <c r="E28" s="72"/>
      <c r="F28" s="69"/>
      <c r="G28" s="73"/>
    </row>
    <row r="29" spans="1:7">
      <c r="A29" s="66"/>
      <c r="B29" s="70"/>
      <c r="C29" s="67"/>
      <c r="D29" s="72"/>
      <c r="E29" s="72"/>
      <c r="F29" s="69"/>
      <c r="G29" s="73"/>
    </row>
    <row r="30" spans="1:7">
      <c r="A30" s="66"/>
      <c r="B30" s="70"/>
      <c r="C30" s="70"/>
      <c r="D30" s="72"/>
      <c r="E30" s="72"/>
      <c r="F30" s="69"/>
      <c r="G30" s="69"/>
    </row>
    <row r="31" spans="1:7">
      <c r="A31" s="66"/>
      <c r="B31" s="70"/>
      <c r="C31" s="67"/>
      <c r="D31" s="68"/>
      <c r="E31" s="68"/>
      <c r="F31" s="69"/>
      <c r="G31" s="73"/>
    </row>
    <row r="32" spans="1:7">
      <c r="A32" s="66"/>
      <c r="B32" s="70"/>
      <c r="C32" s="67"/>
      <c r="D32" s="72"/>
      <c r="E32" s="72"/>
      <c r="F32" s="69"/>
      <c r="G32" s="73"/>
    </row>
    <row r="33" spans="1:7">
      <c r="A33" s="66"/>
      <c r="B33" s="70"/>
      <c r="C33" s="67"/>
      <c r="D33" s="72"/>
      <c r="E33" s="72"/>
      <c r="F33" s="69"/>
      <c r="G33" s="73"/>
    </row>
    <row r="34" spans="1:7">
      <c r="A34" s="66"/>
      <c r="B34" s="70"/>
      <c r="C34" s="67"/>
      <c r="D34" s="72"/>
      <c r="E34" s="72"/>
      <c r="F34" s="69"/>
      <c r="G34" s="69"/>
    </row>
    <row r="35" spans="1:7">
      <c r="A35" s="66"/>
      <c r="B35" s="70"/>
      <c r="C35" s="67"/>
      <c r="D35" s="68"/>
      <c r="E35" s="68"/>
      <c r="F35" s="69"/>
      <c r="G35" s="73"/>
    </row>
    <row r="36" spans="1:7">
      <c r="A36" s="66"/>
      <c r="B36" s="70"/>
      <c r="C36" s="70"/>
      <c r="D36" s="72"/>
      <c r="E36" s="72"/>
      <c r="F36" s="69"/>
      <c r="G36" s="69"/>
    </row>
    <row r="37" spans="1:7">
      <c r="A37" s="66"/>
      <c r="B37" s="70"/>
      <c r="C37" s="67"/>
      <c r="D37" s="72"/>
      <c r="E37" s="72"/>
      <c r="F37" s="69"/>
      <c r="G37" s="73"/>
    </row>
    <row r="38" spans="1:7">
      <c r="A38" s="66"/>
      <c r="B38" s="70"/>
      <c r="C38" s="67"/>
      <c r="D38" s="68"/>
      <c r="E38" s="68"/>
      <c r="F38" s="69"/>
      <c r="G38" s="73"/>
    </row>
    <row r="39" spans="1:7">
      <c r="A39" s="66"/>
      <c r="B39" s="70"/>
      <c r="C39" s="67"/>
      <c r="D39" s="72"/>
      <c r="E39" s="72"/>
      <c r="F39" s="69"/>
      <c r="G39" s="73"/>
    </row>
    <row r="40" spans="1:7">
      <c r="A40" s="66"/>
      <c r="B40" s="70"/>
      <c r="C40" s="67"/>
      <c r="D40" s="72"/>
      <c r="E40" s="72"/>
      <c r="F40" s="69"/>
      <c r="G40" s="73"/>
    </row>
    <row r="41" spans="1:7">
      <c r="A41" s="66"/>
      <c r="B41" s="70"/>
      <c r="C41" s="67"/>
      <c r="D41" s="72"/>
      <c r="E41" s="72"/>
      <c r="F41" s="69"/>
      <c r="G41" s="73"/>
    </row>
    <row r="42" spans="1:7">
      <c r="A42" s="66"/>
      <c r="B42" s="70"/>
      <c r="C42" s="70"/>
      <c r="D42" s="68"/>
      <c r="E42" s="68"/>
      <c r="F42" s="69"/>
      <c r="G42" s="69"/>
    </row>
    <row r="43" spans="1:7">
      <c r="A43" s="66"/>
      <c r="B43" s="70"/>
      <c r="C43" s="67"/>
      <c r="D43" s="72"/>
      <c r="E43" s="72"/>
      <c r="F43" s="69"/>
      <c r="G43" s="73"/>
    </row>
    <row r="44" spans="1:7">
      <c r="A44" s="66"/>
      <c r="B44" s="70"/>
      <c r="C44" s="67"/>
      <c r="D44" s="72"/>
      <c r="E44" s="72"/>
      <c r="F44" s="69"/>
      <c r="G44" s="73"/>
    </row>
    <row r="45" spans="1:7">
      <c r="A45" s="66"/>
      <c r="B45" s="70"/>
      <c r="C45" s="70"/>
      <c r="D45" s="68"/>
      <c r="E45" s="68"/>
      <c r="F45" s="69"/>
      <c r="G45" s="69"/>
    </row>
    <row r="46" spans="1:7">
      <c r="A46" s="66"/>
      <c r="B46" s="70"/>
      <c r="C46" s="70"/>
      <c r="D46" s="68"/>
      <c r="E46" s="68"/>
      <c r="F46" s="69"/>
      <c r="G46" s="69"/>
    </row>
    <row r="47" spans="1:7">
      <c r="A47" s="66"/>
      <c r="B47" s="70"/>
      <c r="C47" s="70"/>
      <c r="D47" s="72"/>
      <c r="E47" s="72"/>
      <c r="F47" s="69"/>
      <c r="G47" s="69"/>
    </row>
    <row r="48" spans="1:7">
      <c r="A48" s="66"/>
      <c r="B48" s="70"/>
      <c r="C48" s="70"/>
      <c r="D48" s="72"/>
      <c r="E48" s="72"/>
      <c r="F48" s="69"/>
      <c r="G48" s="69"/>
    </row>
    <row r="49" spans="1:7">
      <c r="A49" s="66"/>
      <c r="B49" s="70"/>
      <c r="C49" s="70"/>
      <c r="D49" s="72"/>
      <c r="E49" s="72"/>
      <c r="F49" s="69"/>
      <c r="G49" s="69"/>
    </row>
    <row r="50" spans="1:7">
      <c r="A50" s="66"/>
      <c r="B50" s="70"/>
      <c r="C50" s="70"/>
      <c r="D50" s="72"/>
      <c r="E50" s="72"/>
      <c r="F50" s="69"/>
      <c r="G50" s="69"/>
    </row>
    <row r="51" spans="1:7">
      <c r="A51" s="66"/>
      <c r="B51" s="70"/>
      <c r="C51" s="70"/>
      <c r="D51" s="72"/>
      <c r="E51" s="72"/>
      <c r="F51" s="69"/>
      <c r="G51" s="69"/>
    </row>
    <row r="52" spans="1:7">
      <c r="A52" s="66"/>
      <c r="B52" s="70"/>
      <c r="C52" s="70"/>
      <c r="D52" s="72"/>
      <c r="E52" s="72"/>
      <c r="F52" s="69"/>
      <c r="G52" s="69"/>
    </row>
    <row r="53" spans="1:7">
      <c r="A53" s="66"/>
      <c r="B53" s="70"/>
      <c r="C53" s="67"/>
      <c r="D53" s="72"/>
      <c r="E53" s="72"/>
      <c r="F53" s="69"/>
      <c r="G53" s="73"/>
    </row>
    <row r="54" spans="1:7">
      <c r="A54" s="66"/>
      <c r="B54" s="70"/>
      <c r="C54" s="67"/>
      <c r="D54" s="72"/>
      <c r="E54" s="72"/>
      <c r="F54" s="69"/>
      <c r="G54" s="73"/>
    </row>
    <row r="55" spans="1:7">
      <c r="A55" s="66"/>
      <c r="B55" s="70"/>
      <c r="C55" s="67"/>
      <c r="D55" s="72"/>
      <c r="E55" s="72"/>
      <c r="F55" s="69"/>
      <c r="G55" s="73"/>
    </row>
    <row r="56" spans="1:7">
      <c r="A56" s="66"/>
      <c r="B56" s="70"/>
      <c r="C56" s="70"/>
      <c r="D56" s="72"/>
      <c r="E56" s="72"/>
      <c r="F56" s="69"/>
      <c r="G56" s="69"/>
    </row>
    <row r="57" spans="1:7">
      <c r="A57" s="66"/>
      <c r="B57" s="70"/>
      <c r="C57" s="70"/>
      <c r="D57" s="72"/>
      <c r="E57" s="72"/>
      <c r="F57" s="69"/>
      <c r="G57" s="69"/>
    </row>
    <row r="58" spans="1:7">
      <c r="A58" s="66"/>
      <c r="B58" s="70"/>
      <c r="C58" s="70"/>
      <c r="D58" s="72"/>
      <c r="E58" s="72"/>
      <c r="F58" s="69"/>
      <c r="G58" s="69"/>
    </row>
    <row r="59" spans="1:7">
      <c r="A59" s="66"/>
      <c r="B59" s="70"/>
      <c r="C59" s="70"/>
      <c r="D59" s="68"/>
      <c r="E59" s="68"/>
      <c r="F59" s="69"/>
      <c r="G59" s="69"/>
    </row>
    <row r="60" spans="1:7">
      <c r="A60" s="66"/>
      <c r="B60" s="70"/>
      <c r="C60" s="67"/>
      <c r="D60" s="72"/>
      <c r="E60" s="72"/>
      <c r="F60" s="69"/>
      <c r="G60" s="73"/>
    </row>
    <row r="61" spans="1:7">
      <c r="A61" s="66"/>
      <c r="B61" s="70"/>
      <c r="C61" s="70"/>
      <c r="D61" s="72"/>
      <c r="E61" s="72"/>
      <c r="F61" s="69"/>
      <c r="G61" s="69"/>
    </row>
    <row r="62" spans="1:7">
      <c r="A62" s="66"/>
      <c r="B62" s="70"/>
      <c r="C62" s="67"/>
      <c r="D62" s="72"/>
      <c r="E62" s="72"/>
      <c r="F62" s="69"/>
      <c r="G62" s="73"/>
    </row>
    <row r="63" spans="1:7">
      <c r="A63" s="66"/>
      <c r="B63" s="70"/>
      <c r="C63" s="70"/>
      <c r="D63" s="72"/>
      <c r="E63" s="72"/>
      <c r="F63" s="69"/>
      <c r="G63" s="69"/>
    </row>
    <row r="64" spans="1:7">
      <c r="A64" s="66"/>
      <c r="B64" s="70"/>
      <c r="C64" s="70"/>
      <c r="D64" s="72"/>
      <c r="E64" s="72"/>
      <c r="F64" s="69"/>
      <c r="G64" s="69"/>
    </row>
    <row r="65" spans="1:7">
      <c r="A65" s="66"/>
      <c r="B65" s="70"/>
      <c r="C65" s="70"/>
      <c r="D65" s="72"/>
      <c r="E65" s="72"/>
      <c r="F65" s="69"/>
      <c r="G65" s="69"/>
    </row>
    <row r="66" spans="1:7">
      <c r="A66" s="66"/>
      <c r="B66" s="70"/>
      <c r="C66" s="70"/>
      <c r="D66" s="72"/>
      <c r="E66" s="72"/>
      <c r="F66" s="69"/>
      <c r="G66" s="69"/>
    </row>
    <row r="67" spans="1:7">
      <c r="A67" s="66"/>
      <c r="B67" s="70"/>
      <c r="C67" s="70"/>
      <c r="D67" s="72"/>
      <c r="E67" s="72"/>
      <c r="F67" s="69"/>
      <c r="G67" s="69"/>
    </row>
    <row r="68" spans="1:7">
      <c r="A68" s="66"/>
      <c r="B68" s="70"/>
      <c r="C68" s="70"/>
      <c r="D68" s="72"/>
      <c r="E68" s="72"/>
      <c r="F68" s="69"/>
      <c r="G68" s="69"/>
    </row>
    <row r="69" spans="1:7">
      <c r="A69" s="66"/>
      <c r="B69" s="70"/>
      <c r="C69" s="67"/>
      <c r="D69" s="72"/>
      <c r="E69" s="72"/>
      <c r="F69" s="69"/>
      <c r="G69" s="73"/>
    </row>
    <row r="70" spans="1:7">
      <c r="A70" s="66"/>
      <c r="B70" s="70"/>
      <c r="C70" s="67"/>
      <c r="D70" s="72"/>
      <c r="E70" s="72"/>
      <c r="F70" s="69"/>
      <c r="G70" s="73"/>
    </row>
    <row r="71" spans="1:7">
      <c r="A71" s="66"/>
      <c r="B71" s="70"/>
      <c r="C71" s="67"/>
      <c r="D71" s="68"/>
      <c r="E71" s="68"/>
      <c r="F71" s="69"/>
      <c r="G71" s="73"/>
    </row>
    <row r="72" spans="1:7">
      <c r="A72" s="66"/>
      <c r="B72" s="70"/>
      <c r="C72" s="70"/>
      <c r="D72" s="72"/>
      <c r="E72" s="72"/>
      <c r="F72" s="69"/>
      <c r="G72" s="69"/>
    </row>
    <row r="73" spans="1:7">
      <c r="A73" s="66"/>
      <c r="B73" s="70"/>
      <c r="C73" s="70"/>
      <c r="D73" s="72"/>
      <c r="E73" s="72"/>
      <c r="F73" s="69"/>
      <c r="G73" s="69"/>
    </row>
    <row r="74" spans="1:7">
      <c r="A74" s="66"/>
      <c r="B74" s="70"/>
      <c r="C74" s="70"/>
      <c r="D74" s="72"/>
      <c r="E74" s="72"/>
      <c r="F74" s="69"/>
      <c r="G74" s="69"/>
    </row>
    <row r="75" spans="1:7">
      <c r="A75" s="66"/>
      <c r="B75" s="70"/>
      <c r="C75" s="70"/>
      <c r="D75" s="72"/>
      <c r="E75" s="72"/>
      <c r="F75" s="69"/>
      <c r="G75" s="69"/>
    </row>
    <row r="76" spans="1:7">
      <c r="A76" s="66"/>
      <c r="B76" s="70"/>
      <c r="C76" s="67"/>
      <c r="D76" s="72"/>
      <c r="E76" s="72"/>
      <c r="F76" s="69"/>
      <c r="G76" s="73"/>
    </row>
    <row r="77" spans="1:7">
      <c r="A77" s="66"/>
      <c r="B77" s="70"/>
      <c r="C77" s="70"/>
      <c r="D77" s="72"/>
      <c r="E77" s="72"/>
      <c r="F77" s="69"/>
      <c r="G77" s="69"/>
    </row>
    <row r="78" spans="1:7">
      <c r="A78" s="66"/>
      <c r="B78" s="70"/>
      <c r="C78" s="67"/>
      <c r="D78" s="72"/>
      <c r="E78" s="72"/>
      <c r="F78" s="69"/>
      <c r="G78" s="73"/>
    </row>
    <row r="79" spans="1:7">
      <c r="A79" s="66"/>
      <c r="B79" s="70"/>
      <c r="C79" s="67"/>
      <c r="D79" s="72"/>
      <c r="E79" s="72"/>
      <c r="F79" s="69"/>
      <c r="G79" s="73"/>
    </row>
    <row r="80" spans="1:7">
      <c r="A80" s="66"/>
      <c r="B80" s="70"/>
      <c r="C80" s="67"/>
      <c r="D80" s="72"/>
      <c r="E80" s="72"/>
      <c r="F80" s="69"/>
      <c r="G80" s="69"/>
    </row>
    <row r="81" spans="1:7">
      <c r="A81" s="66"/>
      <c r="B81" s="70"/>
      <c r="C81" s="70"/>
      <c r="D81" s="72"/>
      <c r="E81" s="72"/>
      <c r="F81" s="69"/>
      <c r="G81" s="69"/>
    </row>
    <row r="82" spans="1:7">
      <c r="A82" s="66"/>
      <c r="B82" s="70"/>
      <c r="C82" s="70"/>
      <c r="D82" s="72"/>
      <c r="E82" s="72"/>
      <c r="F82" s="69"/>
      <c r="G82" s="69"/>
    </row>
    <row r="83" spans="1:7">
      <c r="A83" s="66"/>
      <c r="B83" s="70"/>
      <c r="C83" s="70"/>
      <c r="D83" s="72"/>
      <c r="E83" s="72"/>
      <c r="F83" s="69"/>
      <c r="G83" s="69"/>
    </row>
    <row r="84" spans="1:7">
      <c r="A84" s="66"/>
      <c r="B84" s="70"/>
      <c r="C84" s="70"/>
      <c r="D84" s="72"/>
      <c r="E84" s="72"/>
      <c r="F84" s="69"/>
      <c r="G84" s="69"/>
    </row>
    <row r="85" spans="1:7">
      <c r="A85" s="66"/>
      <c r="B85" s="70"/>
      <c r="C85" s="70"/>
      <c r="D85" s="68"/>
      <c r="E85" s="68"/>
      <c r="F85" s="69"/>
      <c r="G85" s="69"/>
    </row>
    <row r="86" spans="1:7">
      <c r="A86" s="66"/>
      <c r="B86" s="70"/>
      <c r="C86" s="70"/>
      <c r="D86" s="72"/>
      <c r="E86" s="72"/>
      <c r="F86" s="69"/>
      <c r="G86" s="69"/>
    </row>
    <row r="87" spans="1:7">
      <c r="A87" s="66"/>
      <c r="B87" s="70"/>
      <c r="C87" s="70"/>
      <c r="D87" s="72"/>
      <c r="E87" s="72"/>
      <c r="F87" s="69"/>
      <c r="G87" s="69"/>
    </row>
    <row r="88" spans="1:7">
      <c r="A88" s="66"/>
      <c r="B88" s="70"/>
      <c r="C88" s="70"/>
      <c r="D88" s="72"/>
      <c r="E88" s="72"/>
      <c r="F88" s="69"/>
      <c r="G88" s="69"/>
    </row>
    <row r="89" spans="1:7">
      <c r="A89" s="66"/>
      <c r="B89" s="70"/>
      <c r="C89" s="67"/>
      <c r="D89" s="72"/>
      <c r="E89" s="72"/>
      <c r="F89" s="69"/>
      <c r="G89" s="73"/>
    </row>
    <row r="90" spans="1:7">
      <c r="A90" s="66"/>
      <c r="B90" s="70"/>
      <c r="C90" s="67"/>
      <c r="D90" s="72"/>
      <c r="E90" s="72"/>
      <c r="F90" s="69"/>
      <c r="G90" s="73"/>
    </row>
    <row r="91" spans="1:7">
      <c r="A91" s="66"/>
      <c r="B91" s="70"/>
      <c r="C91" s="67"/>
      <c r="D91" s="72"/>
      <c r="E91" s="72"/>
      <c r="F91" s="69"/>
      <c r="G91" s="73"/>
    </row>
    <row r="92" spans="1:7">
      <c r="A92" s="66"/>
      <c r="B92" s="70"/>
      <c r="C92" s="67"/>
      <c r="D92" s="72"/>
      <c r="E92" s="72"/>
      <c r="F92" s="69"/>
      <c r="G92" s="73"/>
    </row>
    <row r="93" spans="1:7">
      <c r="A93" s="66"/>
      <c r="B93" s="70"/>
      <c r="C93" s="67"/>
      <c r="D93" s="72"/>
      <c r="E93" s="72"/>
      <c r="F93" s="69"/>
      <c r="G93" s="73"/>
    </row>
    <row r="94" spans="1:7">
      <c r="A94" s="66"/>
      <c r="B94" s="70"/>
      <c r="C94" s="67"/>
      <c r="D94" s="72"/>
      <c r="E94" s="72"/>
      <c r="F94" s="69"/>
      <c r="G94" s="73"/>
    </row>
    <row r="95" spans="1:7">
      <c r="A95" s="66"/>
      <c r="B95" s="70"/>
      <c r="C95" s="67"/>
      <c r="D95" s="72"/>
      <c r="E95" s="72"/>
      <c r="F95" s="69"/>
      <c r="G95" s="73"/>
    </row>
    <row r="96" spans="1:7">
      <c r="A96" s="66"/>
      <c r="B96" s="70"/>
      <c r="C96" s="67"/>
      <c r="D96" s="72"/>
      <c r="E96" s="72"/>
      <c r="F96" s="69"/>
      <c r="G96" s="73"/>
    </row>
    <row r="97" spans="1:7">
      <c r="A97" s="66"/>
      <c r="B97" s="70"/>
      <c r="C97" s="70"/>
      <c r="D97" s="72"/>
      <c r="E97" s="72"/>
      <c r="F97" s="69"/>
      <c r="G97" s="69"/>
    </row>
    <row r="98" spans="1:7">
      <c r="A98" s="66"/>
      <c r="B98" s="70"/>
      <c r="C98" s="67"/>
      <c r="D98" s="72"/>
      <c r="E98" s="72"/>
      <c r="F98" s="69"/>
      <c r="G98" s="73"/>
    </row>
    <row r="99" spans="1:7">
      <c r="A99" s="66"/>
      <c r="B99" s="70"/>
      <c r="C99" s="70"/>
      <c r="D99" s="72"/>
      <c r="E99" s="72"/>
      <c r="F99" s="69"/>
      <c r="G99" s="69"/>
    </row>
    <row r="100" spans="1:7">
      <c r="A100" s="66"/>
      <c r="B100" s="70"/>
      <c r="C100" s="67"/>
      <c r="D100" s="72"/>
      <c r="E100" s="72"/>
      <c r="F100" s="69"/>
      <c r="G100" s="73"/>
    </row>
    <row r="101" spans="1:7">
      <c r="A101" s="66"/>
      <c r="B101" s="70"/>
      <c r="C101" s="70"/>
      <c r="D101" s="72"/>
      <c r="E101" s="72"/>
      <c r="F101" s="69"/>
      <c r="G101" s="69"/>
    </row>
    <row r="102" spans="1:7">
      <c r="A102" s="66"/>
      <c r="B102" s="70"/>
      <c r="C102" s="70"/>
      <c r="D102" s="72"/>
      <c r="E102" s="72"/>
      <c r="F102" s="69"/>
      <c r="G102" s="69"/>
    </row>
    <row r="103" spans="1:7">
      <c r="A103" s="66"/>
      <c r="B103" s="70"/>
      <c r="C103" s="70"/>
      <c r="D103" s="72"/>
      <c r="E103" s="72"/>
      <c r="F103" s="69"/>
      <c r="G103" s="69"/>
    </row>
    <row r="104" spans="1:7">
      <c r="A104" s="66"/>
      <c r="B104" s="70"/>
      <c r="C104" s="70"/>
      <c r="D104" s="72"/>
      <c r="E104" s="72"/>
      <c r="F104" s="69"/>
      <c r="G104" s="69"/>
    </row>
    <row r="105" spans="1:7">
      <c r="A105" s="66"/>
      <c r="B105" s="70"/>
      <c r="C105" s="70"/>
      <c r="D105" s="72"/>
      <c r="E105" s="72"/>
      <c r="F105" s="69"/>
      <c r="G105" s="69"/>
    </row>
    <row r="106" spans="1:7">
      <c r="A106" s="66"/>
      <c r="B106" s="70"/>
      <c r="C106" s="70"/>
      <c r="D106" s="72"/>
      <c r="E106" s="72"/>
      <c r="F106" s="69"/>
      <c r="G106" s="69"/>
    </row>
    <row r="107" spans="1:7">
      <c r="A107" s="66"/>
      <c r="B107" s="70"/>
      <c r="C107" s="70"/>
      <c r="D107" s="72"/>
      <c r="E107" s="72"/>
      <c r="F107" s="69"/>
      <c r="G107" s="69"/>
    </row>
    <row r="108" spans="1:7">
      <c r="A108" s="66"/>
      <c r="B108" s="70"/>
      <c r="C108" s="70"/>
      <c r="D108" s="72"/>
      <c r="E108" s="72"/>
      <c r="F108" s="69"/>
      <c r="G108" s="69"/>
    </row>
    <row r="109" spans="1:7">
      <c r="A109" s="66"/>
      <c r="B109" s="70"/>
      <c r="C109" s="70"/>
      <c r="D109" s="72"/>
      <c r="E109" s="72"/>
      <c r="F109" s="69"/>
      <c r="G109" s="69"/>
    </row>
    <row r="110" spans="1:7">
      <c r="A110" s="66"/>
      <c r="B110" s="70"/>
      <c r="C110" s="70"/>
      <c r="D110" s="72"/>
      <c r="E110" s="72"/>
      <c r="F110" s="69"/>
      <c r="G110" s="69"/>
    </row>
    <row r="111" spans="1:7">
      <c r="A111" s="66"/>
      <c r="B111" s="70"/>
      <c r="C111" s="70"/>
      <c r="D111" s="72"/>
      <c r="E111" s="72"/>
      <c r="F111" s="69"/>
      <c r="G111" s="69"/>
    </row>
    <row r="112" spans="1:7">
      <c r="A112" s="66"/>
      <c r="B112" s="70"/>
      <c r="C112" s="70"/>
      <c r="D112" s="72"/>
      <c r="E112" s="72"/>
      <c r="F112" s="69"/>
      <c r="G112" s="69"/>
    </row>
    <row r="113" spans="1:7">
      <c r="A113" s="66"/>
      <c r="B113" s="70"/>
      <c r="C113" s="70"/>
      <c r="D113" s="72"/>
      <c r="E113" s="72"/>
      <c r="F113" s="69"/>
      <c r="G113" s="69"/>
    </row>
    <row r="114" spans="1:7">
      <c r="A114" s="66"/>
      <c r="B114" s="70"/>
      <c r="C114" s="70"/>
      <c r="D114" s="72"/>
      <c r="E114" s="72"/>
      <c r="F114" s="69"/>
      <c r="G114" s="69"/>
    </row>
    <row r="115" spans="1:7">
      <c r="A115" s="66"/>
      <c r="B115" s="70"/>
      <c r="C115" s="70"/>
      <c r="D115" s="72"/>
      <c r="E115" s="72"/>
      <c r="F115" s="69"/>
      <c r="G115" s="69"/>
    </row>
    <row r="116" spans="1:7">
      <c r="A116" s="66"/>
      <c r="B116" s="70"/>
      <c r="C116" s="70"/>
      <c r="D116" s="72"/>
      <c r="E116" s="72"/>
      <c r="F116" s="69"/>
      <c r="G116" s="69"/>
    </row>
    <row r="117" spans="1:7">
      <c r="A117" s="66"/>
      <c r="B117" s="70"/>
      <c r="C117" s="70"/>
      <c r="D117" s="72"/>
      <c r="E117" s="72"/>
      <c r="F117" s="69"/>
      <c r="G117" s="69"/>
    </row>
    <row r="118" spans="1:7">
      <c r="A118" s="66"/>
      <c r="B118" s="70"/>
      <c r="C118" s="70"/>
      <c r="D118" s="72"/>
      <c r="E118" s="72"/>
      <c r="F118" s="69"/>
      <c r="G118" s="69"/>
    </row>
    <row r="119" spans="1:7">
      <c r="A119" s="66"/>
      <c r="B119" s="70"/>
      <c r="C119" s="70"/>
      <c r="D119" s="72"/>
      <c r="E119" s="72"/>
      <c r="F119" s="69"/>
      <c r="G119" s="69"/>
    </row>
    <row r="120" spans="1:7">
      <c r="A120" s="66"/>
      <c r="B120" s="70"/>
      <c r="C120" s="70"/>
      <c r="D120" s="68"/>
      <c r="E120" s="68"/>
      <c r="F120" s="69"/>
      <c r="G120" s="73"/>
    </row>
    <row r="121" spans="1:7">
      <c r="A121" s="66"/>
      <c r="B121" s="70"/>
      <c r="C121" s="70"/>
      <c r="D121" s="72"/>
      <c r="E121" s="72"/>
      <c r="F121" s="69"/>
      <c r="G121" s="69"/>
    </row>
    <row r="122" spans="1:7">
      <c r="A122" s="66"/>
      <c r="B122" s="70"/>
      <c r="C122" s="70"/>
      <c r="D122" s="72"/>
      <c r="E122" s="72"/>
      <c r="F122" s="69"/>
      <c r="G122" s="69"/>
    </row>
    <row r="123" spans="1:7">
      <c r="A123" s="66"/>
      <c r="B123" s="70"/>
      <c r="C123" s="70"/>
      <c r="D123" s="72"/>
      <c r="E123" s="72"/>
      <c r="F123" s="69"/>
      <c r="G123" s="69"/>
    </row>
    <row r="124" spans="1:7">
      <c r="A124" s="66"/>
      <c r="B124" s="70"/>
      <c r="C124" s="70"/>
      <c r="D124" s="72"/>
      <c r="E124" s="72"/>
      <c r="F124" s="69"/>
      <c r="G124" s="69"/>
    </row>
    <row r="125" spans="1:7">
      <c r="A125" s="66"/>
      <c r="B125" s="70"/>
      <c r="C125" s="70"/>
      <c r="D125" s="72"/>
      <c r="E125" s="72"/>
      <c r="F125" s="69"/>
      <c r="G125" s="69"/>
    </row>
    <row r="126" spans="1:7">
      <c r="A126" s="66"/>
      <c r="B126" s="70"/>
      <c r="C126" s="70"/>
      <c r="D126" s="72"/>
      <c r="E126" s="72"/>
      <c r="F126" s="69"/>
      <c r="G126" s="69"/>
    </row>
    <row r="127" spans="1:7">
      <c r="A127" s="66"/>
      <c r="B127" s="70"/>
      <c r="C127" s="70"/>
      <c r="D127" s="68"/>
      <c r="E127" s="68"/>
      <c r="F127" s="69"/>
      <c r="G127" s="69"/>
    </row>
    <row r="128" spans="1:7">
      <c r="A128" s="66"/>
      <c r="B128" s="70"/>
      <c r="C128" s="70"/>
      <c r="D128" s="68"/>
      <c r="E128" s="68"/>
      <c r="F128" s="69"/>
      <c r="G128" s="69"/>
    </row>
    <row r="129" spans="1:7">
      <c r="A129" s="66"/>
      <c r="B129" s="70"/>
      <c r="C129" s="70"/>
      <c r="D129" s="72"/>
      <c r="E129" s="72"/>
      <c r="F129" s="69"/>
      <c r="G129" s="69"/>
    </row>
    <row r="130" spans="1:7">
      <c r="A130" s="66"/>
      <c r="B130" s="70"/>
      <c r="C130" s="70"/>
      <c r="D130" s="72"/>
      <c r="E130" s="72"/>
      <c r="F130" s="69"/>
      <c r="G130" s="69"/>
    </row>
    <row r="131" spans="1:7">
      <c r="A131" s="66"/>
      <c r="B131" s="70"/>
      <c r="C131" s="70"/>
      <c r="D131" s="72"/>
      <c r="E131" s="72"/>
      <c r="F131" s="69"/>
      <c r="G131" s="69"/>
    </row>
    <row r="132" spans="1:7">
      <c r="A132" s="66"/>
      <c r="B132" s="70"/>
      <c r="C132" s="70"/>
      <c r="D132" s="72"/>
      <c r="E132" s="72"/>
      <c r="F132" s="69"/>
      <c r="G132" s="69"/>
    </row>
    <row r="133" spans="1:7">
      <c r="A133" s="66"/>
      <c r="B133" s="70"/>
      <c r="C133" s="70"/>
      <c r="D133" s="72"/>
      <c r="E133" s="72"/>
      <c r="F133" s="69"/>
      <c r="G133" s="69"/>
    </row>
    <row r="134" spans="1:7">
      <c r="A134" s="66"/>
      <c r="B134" s="70"/>
      <c r="C134" s="70"/>
      <c r="D134" s="72"/>
      <c r="E134" s="72"/>
      <c r="F134" s="69"/>
      <c r="G134" s="69"/>
    </row>
    <row r="135" spans="1:7">
      <c r="A135" s="66"/>
      <c r="B135" s="70"/>
      <c r="C135" s="70"/>
      <c r="D135" s="68"/>
      <c r="E135" s="68"/>
      <c r="F135" s="69"/>
      <c r="G135" s="69"/>
    </row>
    <row r="136" spans="1:7">
      <c r="A136" s="66"/>
      <c r="B136" s="70"/>
      <c r="C136" s="70"/>
      <c r="D136" s="72"/>
      <c r="E136" s="72"/>
      <c r="F136" s="69"/>
      <c r="G136" s="73"/>
    </row>
    <row r="137" spans="1:7">
      <c r="A137" s="66"/>
      <c r="B137" s="70"/>
      <c r="C137" s="70"/>
      <c r="D137" s="72"/>
      <c r="E137" s="72"/>
      <c r="F137" s="69"/>
      <c r="G137" s="69"/>
    </row>
    <row r="138" spans="1:7">
      <c r="A138" s="66"/>
      <c r="B138" s="70"/>
      <c r="C138" s="70"/>
      <c r="D138" s="72"/>
      <c r="E138" s="72"/>
      <c r="F138" s="69"/>
      <c r="G138" s="69"/>
    </row>
    <row r="139" spans="1:7">
      <c r="A139" s="66"/>
      <c r="B139" s="70"/>
      <c r="C139" s="70"/>
      <c r="D139" s="72"/>
      <c r="E139" s="72"/>
      <c r="F139" s="69"/>
      <c r="G139" s="69"/>
    </row>
    <row r="140" spans="1:7">
      <c r="A140" s="66"/>
      <c r="B140" s="70"/>
      <c r="C140" s="70"/>
      <c r="D140" s="72"/>
      <c r="E140" s="72"/>
      <c r="F140" s="69"/>
      <c r="G140" s="69"/>
    </row>
    <row r="141" spans="1:7">
      <c r="A141" s="66"/>
      <c r="B141" s="70"/>
      <c r="C141" s="67"/>
      <c r="D141" s="74"/>
      <c r="E141" s="74"/>
      <c r="F141" s="69"/>
      <c r="G141" s="73"/>
    </row>
    <row r="142" spans="1:7">
      <c r="A142" s="66"/>
      <c r="B142" s="70"/>
      <c r="C142" s="67"/>
      <c r="D142" s="75"/>
      <c r="E142" s="75"/>
      <c r="F142" s="69"/>
      <c r="G142" s="73"/>
    </row>
    <row r="143" spans="1:7">
      <c r="A143" s="66"/>
      <c r="B143" s="70"/>
      <c r="C143" s="67"/>
      <c r="D143" s="74"/>
      <c r="E143" s="74"/>
      <c r="F143" s="69"/>
      <c r="G143" s="73"/>
    </row>
    <row r="144" spans="1:7">
      <c r="A144" s="66"/>
      <c r="B144" s="70"/>
      <c r="C144" s="67"/>
      <c r="D144" s="74"/>
      <c r="E144" s="74"/>
      <c r="F144" s="69"/>
      <c r="G144" s="73"/>
    </row>
    <row r="145" spans="1:7">
      <c r="A145" s="66"/>
      <c r="B145" s="70"/>
      <c r="C145" s="67"/>
      <c r="D145" s="74"/>
      <c r="E145" s="74"/>
      <c r="F145" s="69"/>
      <c r="G145" s="73"/>
    </row>
    <row r="146" spans="1:7">
      <c r="A146" s="66"/>
      <c r="B146" s="70"/>
      <c r="C146" s="67"/>
      <c r="D146" s="75"/>
      <c r="E146" s="75"/>
      <c r="F146" s="69"/>
      <c r="G146" s="73"/>
    </row>
    <row r="147" spans="1:7">
      <c r="A147" s="66"/>
      <c r="B147" s="70"/>
      <c r="C147" s="67"/>
      <c r="D147" s="74"/>
      <c r="E147" s="74"/>
      <c r="F147" s="69"/>
      <c r="G147" s="73"/>
    </row>
    <row r="148" spans="1:7">
      <c r="A148" s="66"/>
      <c r="B148" s="70"/>
      <c r="C148" s="67"/>
      <c r="D148" s="75"/>
      <c r="E148" s="75"/>
      <c r="F148" s="69"/>
      <c r="G148" s="73"/>
    </row>
    <row r="149" spans="1:7">
      <c r="A149" s="66"/>
      <c r="B149" s="70"/>
      <c r="C149" s="67"/>
      <c r="D149" s="74"/>
      <c r="E149" s="74"/>
      <c r="F149" s="69"/>
      <c r="G149" s="73"/>
    </row>
    <row r="150" spans="1:7">
      <c r="A150" s="66"/>
      <c r="B150" s="70"/>
      <c r="C150" s="67"/>
      <c r="D150" s="74"/>
      <c r="E150" s="74"/>
      <c r="F150" s="69"/>
      <c r="G150" s="73"/>
    </row>
    <row r="151" spans="1:7">
      <c r="A151" s="66"/>
      <c r="B151" s="70"/>
      <c r="C151" s="67"/>
      <c r="D151" s="74"/>
      <c r="E151" s="74"/>
      <c r="F151" s="69"/>
      <c r="G151" s="73"/>
    </row>
    <row r="152" spans="1:7">
      <c r="A152" s="66"/>
      <c r="B152" s="70"/>
      <c r="C152" s="67"/>
      <c r="D152" s="74"/>
      <c r="E152" s="74"/>
      <c r="F152" s="69"/>
      <c r="G152" s="73"/>
    </row>
    <row r="153" spans="1:7">
      <c r="A153" s="66"/>
      <c r="B153" s="70"/>
      <c r="C153" s="67"/>
      <c r="D153" s="74"/>
      <c r="E153" s="74"/>
      <c r="F153" s="69"/>
      <c r="G153" s="73"/>
    </row>
    <row r="154" spans="1:7">
      <c r="A154" s="66"/>
      <c r="B154" s="70"/>
      <c r="C154" s="67"/>
      <c r="D154" s="74"/>
      <c r="E154" s="74"/>
      <c r="F154" s="69"/>
      <c r="G154" s="73"/>
    </row>
    <row r="155" spans="1:7">
      <c r="A155" s="66"/>
      <c r="B155" s="70"/>
      <c r="C155" s="70"/>
      <c r="D155" s="74"/>
      <c r="E155" s="74"/>
      <c r="F155" s="69"/>
      <c r="G155" s="69"/>
    </row>
    <row r="156" spans="1:7">
      <c r="A156" s="66"/>
      <c r="B156" s="70"/>
      <c r="C156" s="67"/>
      <c r="D156" s="74"/>
      <c r="E156" s="74"/>
      <c r="F156" s="69"/>
      <c r="G156" s="73"/>
    </row>
    <row r="157" spans="1:7">
      <c r="A157" s="66"/>
      <c r="B157" s="70"/>
      <c r="C157" s="67"/>
      <c r="D157" s="74"/>
      <c r="E157" s="74"/>
      <c r="F157" s="69"/>
      <c r="G157" s="73"/>
    </row>
    <row r="158" spans="1:7">
      <c r="A158" s="66"/>
      <c r="B158" s="70"/>
      <c r="C158" s="67"/>
      <c r="D158" s="76"/>
      <c r="E158" s="76"/>
      <c r="F158" s="69"/>
      <c r="G158" s="73"/>
    </row>
    <row r="159" spans="1:7">
      <c r="A159" s="66"/>
      <c r="B159" s="70"/>
      <c r="C159" s="70"/>
      <c r="D159" s="76"/>
      <c r="E159" s="76"/>
      <c r="F159" s="69"/>
      <c r="G159" s="69"/>
    </row>
    <row r="160" spans="1:7">
      <c r="A160" s="66"/>
      <c r="B160" s="70"/>
      <c r="C160" s="70"/>
      <c r="D160" s="76"/>
      <c r="E160" s="76"/>
      <c r="F160" s="69"/>
      <c r="G160" s="69"/>
    </row>
    <row r="161" spans="1:7">
      <c r="A161" s="66"/>
      <c r="B161" s="70"/>
      <c r="C161" s="67"/>
      <c r="D161" s="76"/>
      <c r="E161" s="76"/>
      <c r="F161" s="69"/>
      <c r="G161" s="73"/>
    </row>
    <row r="162" spans="1:7">
      <c r="A162" s="66"/>
      <c r="B162" s="70"/>
      <c r="C162" s="70"/>
      <c r="D162" s="76"/>
      <c r="E162" s="76"/>
      <c r="F162" s="69"/>
      <c r="G162" s="69"/>
    </row>
    <row r="163" spans="1:7">
      <c r="A163" s="66"/>
      <c r="B163" s="70"/>
      <c r="C163" s="70"/>
      <c r="D163" s="76"/>
      <c r="E163" s="76"/>
      <c r="F163" s="69"/>
      <c r="G163" s="69"/>
    </row>
    <row r="164" spans="1:7">
      <c r="A164" s="66"/>
      <c r="B164" s="70"/>
      <c r="C164" s="67"/>
      <c r="D164" s="74"/>
      <c r="E164" s="74"/>
      <c r="F164" s="69"/>
      <c r="G164" s="73"/>
    </row>
    <row r="165" spans="1:7">
      <c r="A165" s="66"/>
      <c r="B165" s="70"/>
      <c r="C165" s="67"/>
      <c r="D165" s="74"/>
      <c r="E165" s="74"/>
      <c r="F165" s="69"/>
      <c r="G165" s="73"/>
    </row>
    <row r="166" spans="1:7">
      <c r="A166" s="66"/>
      <c r="B166" s="70"/>
      <c r="C166" s="67"/>
      <c r="D166" s="74"/>
      <c r="E166" s="74"/>
      <c r="F166" s="69"/>
      <c r="G166" s="73"/>
    </row>
    <row r="167" spans="1:7">
      <c r="A167" s="66"/>
      <c r="B167" s="70"/>
      <c r="C167" s="67"/>
      <c r="D167" s="74"/>
      <c r="E167" s="74"/>
      <c r="F167" s="69"/>
      <c r="G167" s="73"/>
    </row>
    <row r="168" spans="1:7">
      <c r="A168" s="66"/>
      <c r="B168" s="70"/>
      <c r="C168" s="67"/>
      <c r="D168" s="74"/>
      <c r="E168" s="74"/>
      <c r="F168" s="69"/>
      <c r="G168" s="73"/>
    </row>
    <row r="169" spans="1:7">
      <c r="A169" s="66"/>
      <c r="B169" s="70"/>
      <c r="C169" s="67"/>
      <c r="D169" s="74"/>
      <c r="E169" s="74"/>
      <c r="F169" s="69"/>
      <c r="G169" s="73"/>
    </row>
    <row r="170" spans="1:7">
      <c r="A170" s="66"/>
      <c r="B170" s="70"/>
      <c r="C170" s="67"/>
      <c r="D170" s="74"/>
      <c r="E170" s="74"/>
      <c r="F170" s="69"/>
      <c r="G170" s="73"/>
    </row>
    <row r="171" spans="1:7">
      <c r="A171" s="66"/>
      <c r="B171" s="70"/>
      <c r="C171" s="70"/>
      <c r="D171" s="74"/>
      <c r="E171" s="74"/>
      <c r="F171" s="69"/>
      <c r="G171" s="69"/>
    </row>
    <row r="172" spans="1:7">
      <c r="A172" s="66"/>
      <c r="B172" s="70"/>
      <c r="C172" s="67"/>
      <c r="D172" s="74"/>
      <c r="E172" s="74"/>
      <c r="F172" s="69"/>
      <c r="G172" s="73"/>
    </row>
    <row r="173" spans="1:7">
      <c r="A173" s="66"/>
      <c r="B173" s="70"/>
      <c r="C173" s="70"/>
      <c r="D173" s="74"/>
      <c r="E173" s="74"/>
      <c r="F173" s="69"/>
      <c r="G173" s="69"/>
    </row>
    <row r="174" spans="1:7">
      <c r="A174" s="66"/>
      <c r="B174" s="70"/>
      <c r="C174" s="70"/>
      <c r="D174" s="74"/>
      <c r="E174" s="74"/>
      <c r="F174" s="69"/>
      <c r="G174" s="69"/>
    </row>
    <row r="175" spans="1:7">
      <c r="A175" s="66"/>
      <c r="B175" s="70"/>
      <c r="C175" s="67"/>
      <c r="D175" s="74"/>
      <c r="E175" s="74"/>
      <c r="F175" s="69"/>
      <c r="G175" s="73"/>
    </row>
    <row r="176" spans="1:7">
      <c r="A176" s="66"/>
      <c r="B176" s="70"/>
      <c r="C176" s="67"/>
      <c r="D176" s="74"/>
      <c r="E176" s="74"/>
      <c r="F176" s="69"/>
      <c r="G176" s="73"/>
    </row>
    <row r="177" spans="1:7">
      <c r="A177" s="66"/>
      <c r="B177" s="70"/>
      <c r="C177" s="67"/>
      <c r="D177" s="74"/>
      <c r="E177" s="74"/>
      <c r="F177" s="69"/>
      <c r="G177" s="73"/>
    </row>
    <row r="178" spans="1:7">
      <c r="A178" s="66"/>
      <c r="B178" s="70"/>
      <c r="C178" s="67"/>
      <c r="D178" s="74"/>
      <c r="E178" s="74"/>
      <c r="F178" s="69"/>
      <c r="G178" s="73"/>
    </row>
    <row r="179" spans="1:7">
      <c r="A179" s="66"/>
      <c r="B179" s="70"/>
      <c r="C179" s="67"/>
      <c r="D179" s="76"/>
      <c r="E179" s="76"/>
      <c r="F179" s="69"/>
      <c r="G179" s="73"/>
    </row>
    <row r="180" spans="1:7">
      <c r="A180" s="66"/>
      <c r="B180" s="70"/>
      <c r="C180" s="70"/>
      <c r="D180" s="76"/>
      <c r="E180" s="76"/>
      <c r="F180" s="69"/>
      <c r="G180" s="69"/>
    </row>
    <row r="181" spans="1:7">
      <c r="A181" s="66"/>
      <c r="B181" s="70"/>
      <c r="C181" s="70"/>
      <c r="D181" s="76"/>
      <c r="E181" s="76"/>
      <c r="F181" s="69"/>
      <c r="G181" s="69"/>
    </row>
    <row r="182" spans="1:7">
      <c r="A182" s="66"/>
      <c r="B182" s="70"/>
      <c r="C182" s="70"/>
      <c r="D182" s="76"/>
      <c r="E182" s="76"/>
      <c r="F182" s="69"/>
      <c r="G182" s="69"/>
    </row>
    <row r="183" spans="1:7" ht="38.25" customHeight="1">
      <c r="A183" s="77"/>
      <c r="B183" s="78"/>
      <c r="C183" s="70"/>
      <c r="D183" s="79"/>
      <c r="E183" s="79"/>
      <c r="F183" s="69"/>
      <c r="G183" s="69"/>
    </row>
    <row r="184" spans="1:7">
      <c r="A184" s="77"/>
      <c r="B184" s="78"/>
      <c r="C184" s="70"/>
      <c r="D184" s="79"/>
      <c r="E184" s="79"/>
      <c r="F184" s="69"/>
      <c r="G184" s="69"/>
    </row>
    <row r="185" spans="1:7">
      <c r="A185" s="77"/>
      <c r="B185" s="78"/>
      <c r="C185" s="70"/>
      <c r="D185" s="79"/>
      <c r="E185" s="79"/>
      <c r="F185" s="69"/>
      <c r="G185" s="69"/>
    </row>
    <row r="186" spans="1:7">
      <c r="A186" s="66"/>
      <c r="B186" s="70"/>
      <c r="C186" s="70"/>
      <c r="D186" s="75"/>
      <c r="E186" s="75"/>
      <c r="F186" s="69"/>
      <c r="G186" s="69"/>
    </row>
    <row r="187" spans="1:7">
      <c r="A187" s="66"/>
      <c r="B187" s="70"/>
      <c r="C187" s="67"/>
      <c r="D187" s="75"/>
      <c r="E187" s="75"/>
      <c r="F187" s="69"/>
      <c r="G187" s="73"/>
    </row>
    <row r="188" spans="1:7">
      <c r="A188" s="66"/>
      <c r="B188" s="70"/>
      <c r="C188" s="67"/>
      <c r="D188" s="75"/>
      <c r="E188" s="75"/>
      <c r="F188" s="69"/>
      <c r="G188" s="73"/>
    </row>
    <row r="189" spans="1:7">
      <c r="A189" s="66"/>
      <c r="B189" s="70"/>
      <c r="C189" s="70"/>
      <c r="D189" s="75"/>
      <c r="E189" s="75"/>
      <c r="F189" s="69"/>
      <c r="G189" s="69"/>
    </row>
    <row r="190" spans="1:7">
      <c r="A190" s="66"/>
      <c r="B190" s="67"/>
      <c r="C190" s="67"/>
      <c r="D190" s="68"/>
      <c r="E190" s="68"/>
      <c r="F190" s="69"/>
      <c r="G190" s="73"/>
    </row>
    <row r="191" spans="1:7">
      <c r="A191" s="66"/>
      <c r="B191" s="67"/>
      <c r="C191" s="67"/>
      <c r="D191" s="68"/>
      <c r="E191" s="68"/>
      <c r="F191" s="69"/>
      <c r="G191" s="73"/>
    </row>
    <row r="192" spans="1:7">
      <c r="A192" s="66"/>
      <c r="B192" s="67"/>
      <c r="C192" s="67"/>
      <c r="D192" s="68"/>
      <c r="E192" s="68"/>
      <c r="F192" s="69"/>
      <c r="G192" s="73"/>
    </row>
    <row r="193" spans="1:7">
      <c r="A193" s="66"/>
      <c r="B193" s="67"/>
      <c r="C193" s="67"/>
      <c r="D193" s="68"/>
      <c r="E193" s="68"/>
      <c r="F193" s="69"/>
      <c r="G193" s="73"/>
    </row>
    <row r="194" spans="1:7">
      <c r="A194" s="66"/>
      <c r="B194" s="67"/>
      <c r="C194" s="67"/>
      <c r="D194" s="68"/>
      <c r="E194" s="68"/>
      <c r="F194" s="69"/>
      <c r="G194" s="73"/>
    </row>
    <row r="195" spans="1:7">
      <c r="A195" s="66"/>
      <c r="B195" s="67"/>
      <c r="C195" s="67"/>
      <c r="D195" s="68"/>
      <c r="E195" s="68"/>
      <c r="F195" s="69"/>
      <c r="G195" s="73"/>
    </row>
    <row r="196" spans="1:7">
      <c r="A196" s="66"/>
      <c r="B196" s="67"/>
      <c r="C196" s="67"/>
      <c r="D196" s="68"/>
      <c r="E196" s="68"/>
      <c r="F196" s="69"/>
      <c r="G196" s="73"/>
    </row>
    <row r="197" spans="1:7">
      <c r="A197" s="66"/>
      <c r="B197" s="67"/>
      <c r="C197" s="67"/>
      <c r="D197" s="68"/>
      <c r="E197" s="68"/>
      <c r="F197" s="69"/>
      <c r="G197" s="73"/>
    </row>
    <row r="198" spans="1:7">
      <c r="A198" s="66"/>
      <c r="B198" s="67"/>
      <c r="C198" s="67"/>
      <c r="D198" s="68"/>
      <c r="E198" s="68"/>
      <c r="F198" s="69"/>
      <c r="G198" s="73"/>
    </row>
    <row r="199" spans="1:7">
      <c r="A199" s="66"/>
      <c r="B199" s="67"/>
      <c r="C199" s="67"/>
      <c r="D199" s="68"/>
      <c r="E199" s="68"/>
      <c r="F199" s="69"/>
      <c r="G199" s="73"/>
    </row>
    <row r="200" spans="1:7">
      <c r="A200" s="66"/>
      <c r="B200" s="67"/>
      <c r="C200" s="67"/>
      <c r="D200" s="68"/>
      <c r="E200" s="68"/>
      <c r="F200" s="69"/>
      <c r="G200" s="73"/>
    </row>
    <row r="201" spans="1:7">
      <c r="A201" s="66"/>
      <c r="B201" s="67"/>
      <c r="C201" s="67"/>
      <c r="D201" s="68"/>
      <c r="E201" s="68"/>
      <c r="F201" s="69"/>
      <c r="G201" s="73"/>
    </row>
    <row r="202" spans="1:7">
      <c r="A202" s="66"/>
      <c r="B202" s="67"/>
      <c r="C202" s="67"/>
      <c r="D202" s="68"/>
      <c r="E202" s="68"/>
      <c r="F202" s="69"/>
      <c r="G202" s="73"/>
    </row>
    <row r="203" spans="1:7">
      <c r="A203" s="66"/>
      <c r="B203" s="67"/>
      <c r="C203" s="67"/>
      <c r="D203" s="68"/>
      <c r="E203" s="68"/>
      <c r="F203" s="69"/>
      <c r="G203" s="73"/>
    </row>
    <row r="204" spans="1:7">
      <c r="A204" s="66"/>
      <c r="B204" s="67"/>
      <c r="C204" s="67"/>
      <c r="D204" s="68"/>
      <c r="E204" s="68"/>
      <c r="F204" s="69"/>
      <c r="G204" s="73"/>
    </row>
    <row r="205" spans="1:7">
      <c r="A205" s="66"/>
      <c r="B205" s="67"/>
      <c r="C205" s="67"/>
      <c r="D205" s="68"/>
      <c r="E205" s="68"/>
      <c r="F205" s="69"/>
      <c r="G205" s="73"/>
    </row>
    <row r="206" spans="1:7">
      <c r="A206" s="66"/>
      <c r="B206" s="67"/>
      <c r="C206" s="67"/>
      <c r="D206" s="68"/>
      <c r="E206" s="68"/>
      <c r="F206" s="69"/>
      <c r="G206" s="73"/>
    </row>
    <row r="207" spans="1:7">
      <c r="A207" s="66"/>
      <c r="B207" s="67"/>
      <c r="C207" s="67"/>
      <c r="D207" s="68"/>
      <c r="E207" s="68"/>
      <c r="F207" s="69"/>
      <c r="G207" s="73"/>
    </row>
    <row r="208" spans="1:7">
      <c r="A208" s="66"/>
      <c r="B208" s="67"/>
      <c r="C208" s="67"/>
      <c r="D208" s="68"/>
      <c r="E208" s="68"/>
      <c r="F208" s="69"/>
      <c r="G208" s="73"/>
    </row>
    <row r="209" spans="1:7">
      <c r="A209" s="66"/>
      <c r="B209" s="67"/>
      <c r="C209" s="67"/>
      <c r="D209" s="68"/>
      <c r="E209" s="68"/>
      <c r="F209" s="69"/>
      <c r="G209" s="73"/>
    </row>
    <row r="210" spans="1:7">
      <c r="A210" s="66"/>
      <c r="B210" s="67"/>
      <c r="C210" s="67"/>
      <c r="D210" s="68"/>
      <c r="E210" s="68"/>
      <c r="F210" s="69"/>
      <c r="G210" s="73"/>
    </row>
    <row r="211" spans="1:7">
      <c r="A211" s="66"/>
      <c r="B211" s="67"/>
      <c r="C211" s="67"/>
      <c r="D211" s="68"/>
      <c r="E211" s="68"/>
      <c r="F211" s="69"/>
      <c r="G211" s="73"/>
    </row>
    <row r="212" spans="1:7">
      <c r="A212" s="66"/>
      <c r="B212" s="67"/>
      <c r="C212" s="67"/>
      <c r="D212" s="68"/>
      <c r="E212" s="68"/>
      <c r="F212" s="69"/>
      <c r="G212" s="73"/>
    </row>
    <row r="213" spans="1:7">
      <c r="A213" s="66"/>
      <c r="B213" s="67"/>
      <c r="C213" s="67"/>
      <c r="D213" s="68"/>
      <c r="E213" s="68"/>
      <c r="F213" s="69"/>
      <c r="G213" s="73"/>
    </row>
    <row r="214" spans="1:7">
      <c r="A214" s="66"/>
      <c r="B214" s="67"/>
      <c r="C214" s="67"/>
      <c r="D214" s="68"/>
      <c r="E214" s="68"/>
      <c r="F214" s="69"/>
      <c r="G214" s="73"/>
    </row>
    <row r="215" spans="1:7">
      <c r="A215" s="66"/>
      <c r="B215" s="67"/>
      <c r="C215" s="67"/>
      <c r="D215" s="68"/>
      <c r="E215" s="68"/>
      <c r="F215" s="69"/>
      <c r="G215" s="73"/>
    </row>
    <row r="216" spans="1:7">
      <c r="A216" s="66"/>
      <c r="B216" s="67"/>
      <c r="C216" s="67"/>
      <c r="D216" s="68"/>
      <c r="E216" s="68"/>
      <c r="F216" s="69"/>
      <c r="G216" s="73"/>
    </row>
    <row r="217" spans="1:7">
      <c r="A217" s="66"/>
      <c r="B217" s="67"/>
      <c r="C217" s="67"/>
      <c r="D217" s="68"/>
      <c r="E217" s="68"/>
      <c r="F217" s="69"/>
      <c r="G217" s="73"/>
    </row>
    <row r="218" spans="1:7">
      <c r="A218" s="66"/>
      <c r="B218" s="67"/>
      <c r="C218" s="67"/>
      <c r="D218" s="68"/>
      <c r="E218" s="68"/>
      <c r="F218" s="69"/>
      <c r="G218" s="73"/>
    </row>
    <row r="219" spans="1:7">
      <c r="A219" s="66"/>
      <c r="B219" s="67"/>
      <c r="C219" s="67"/>
      <c r="D219" s="68"/>
      <c r="E219" s="68"/>
      <c r="F219" s="69"/>
      <c r="G219" s="73"/>
    </row>
    <row r="220" spans="1:7">
      <c r="A220" s="66"/>
      <c r="B220" s="67"/>
      <c r="C220" s="67"/>
      <c r="D220" s="68"/>
      <c r="E220" s="68"/>
      <c r="F220" s="69"/>
      <c r="G220" s="73"/>
    </row>
    <row r="221" spans="1:7">
      <c r="A221" s="66"/>
      <c r="B221" s="67"/>
      <c r="C221" s="67"/>
      <c r="D221" s="68"/>
      <c r="E221" s="68"/>
      <c r="F221" s="69"/>
      <c r="G221" s="73"/>
    </row>
    <row r="222" spans="1:7">
      <c r="A222" s="66"/>
      <c r="B222" s="67"/>
      <c r="C222" s="67"/>
      <c r="D222" s="68"/>
      <c r="E222" s="68"/>
      <c r="F222" s="69"/>
      <c r="G222" s="73"/>
    </row>
    <row r="223" spans="1:7">
      <c r="A223" s="66"/>
      <c r="B223" s="67"/>
      <c r="C223" s="67"/>
      <c r="D223" s="68"/>
      <c r="E223" s="68"/>
      <c r="F223" s="69"/>
      <c r="G223" s="73"/>
    </row>
    <row r="224" spans="1:7">
      <c r="A224" s="66"/>
      <c r="B224" s="67"/>
      <c r="C224" s="67"/>
      <c r="D224" s="68"/>
      <c r="E224" s="68"/>
      <c r="F224" s="69"/>
      <c r="G224" s="73"/>
    </row>
    <row r="225" spans="1:7">
      <c r="A225" s="66"/>
      <c r="B225" s="67"/>
      <c r="C225" s="67"/>
      <c r="D225" s="68"/>
      <c r="E225" s="68"/>
      <c r="F225" s="69"/>
      <c r="G225" s="73"/>
    </row>
    <row r="226" spans="1:7">
      <c r="A226" s="66"/>
      <c r="B226" s="67"/>
      <c r="C226" s="67"/>
      <c r="D226" s="68"/>
      <c r="E226" s="68"/>
      <c r="F226" s="69"/>
      <c r="G226" s="73"/>
    </row>
    <row r="227" spans="1:7">
      <c r="A227" s="66"/>
      <c r="B227" s="67"/>
      <c r="C227" s="67"/>
      <c r="D227" s="68"/>
      <c r="E227" s="68"/>
      <c r="F227" s="69"/>
      <c r="G227" s="73"/>
    </row>
    <row r="228" spans="1:7">
      <c r="A228" s="66"/>
      <c r="B228" s="67"/>
      <c r="C228" s="67"/>
      <c r="D228" s="68"/>
      <c r="E228" s="68"/>
      <c r="F228" s="69"/>
      <c r="G228" s="73"/>
    </row>
    <row r="229" spans="1:7">
      <c r="A229" s="66"/>
      <c r="B229" s="67"/>
      <c r="C229" s="67"/>
      <c r="D229" s="68"/>
      <c r="E229" s="68"/>
      <c r="F229" s="69"/>
      <c r="G229" s="73"/>
    </row>
    <row r="230" spans="1:7">
      <c r="A230" s="66"/>
      <c r="B230" s="67"/>
      <c r="C230" s="67"/>
      <c r="D230" s="68"/>
      <c r="E230" s="68"/>
      <c r="F230" s="69"/>
      <c r="G230" s="73"/>
    </row>
    <row r="231" spans="1:7">
      <c r="A231" s="66"/>
      <c r="B231" s="67"/>
      <c r="C231" s="67"/>
      <c r="D231" s="68"/>
      <c r="E231" s="68"/>
      <c r="F231" s="69"/>
      <c r="G231" s="73"/>
    </row>
    <row r="232" spans="1:7">
      <c r="A232" s="66"/>
      <c r="B232" s="67"/>
      <c r="C232" s="67"/>
      <c r="D232" s="68"/>
      <c r="E232" s="68"/>
      <c r="F232" s="69"/>
      <c r="G232" s="73"/>
    </row>
    <row r="233" spans="1:7">
      <c r="A233" s="66"/>
      <c r="B233" s="67"/>
      <c r="C233" s="67"/>
      <c r="D233" s="68"/>
      <c r="E233" s="68"/>
      <c r="F233" s="69"/>
      <c r="G233" s="73"/>
    </row>
    <row r="234" spans="1:7">
      <c r="A234" s="66"/>
      <c r="B234" s="67"/>
      <c r="C234" s="67"/>
      <c r="D234" s="68"/>
      <c r="E234" s="68"/>
      <c r="F234" s="69"/>
      <c r="G234" s="73"/>
    </row>
    <row r="235" spans="1:7">
      <c r="A235" s="66"/>
      <c r="B235" s="67"/>
      <c r="C235" s="67"/>
      <c r="D235" s="68"/>
      <c r="E235" s="68"/>
      <c r="F235" s="69"/>
      <c r="G235" s="73"/>
    </row>
    <row r="236" spans="1:7">
      <c r="A236" s="66"/>
      <c r="B236" s="67"/>
      <c r="C236" s="67"/>
      <c r="D236" s="68"/>
      <c r="E236" s="68"/>
      <c r="F236" s="69"/>
      <c r="G236" s="73"/>
    </row>
    <row r="237" spans="1:7">
      <c r="A237" s="66"/>
      <c r="B237" s="67"/>
      <c r="C237" s="67"/>
      <c r="D237" s="68"/>
      <c r="E237" s="68"/>
      <c r="F237" s="69"/>
      <c r="G237" s="73"/>
    </row>
    <row r="238" spans="1:7">
      <c r="A238" s="66"/>
      <c r="B238" s="67"/>
      <c r="C238" s="67"/>
      <c r="D238" s="68"/>
      <c r="E238" s="68"/>
      <c r="F238" s="69"/>
      <c r="G238" s="73"/>
    </row>
    <row r="239" spans="1:7">
      <c r="A239" s="66"/>
      <c r="B239" s="67"/>
      <c r="C239" s="67"/>
      <c r="D239" s="68"/>
      <c r="E239" s="68"/>
      <c r="F239" s="69"/>
      <c r="G239" s="73"/>
    </row>
    <row r="240" spans="1:7">
      <c r="A240" s="66"/>
      <c r="B240" s="67"/>
      <c r="C240" s="67"/>
      <c r="D240" s="68"/>
      <c r="E240" s="68"/>
      <c r="F240" s="69"/>
      <c r="G240" s="73"/>
    </row>
    <row r="241" spans="1:7">
      <c r="A241" s="66"/>
      <c r="B241" s="67"/>
      <c r="C241" s="67"/>
      <c r="D241" s="68"/>
      <c r="E241" s="68"/>
      <c r="F241" s="69"/>
      <c r="G241" s="73"/>
    </row>
    <row r="242" spans="1:7">
      <c r="A242" s="66"/>
      <c r="B242" s="67"/>
      <c r="C242" s="67"/>
      <c r="D242" s="68"/>
      <c r="E242" s="68"/>
      <c r="F242" s="69"/>
      <c r="G242" s="73"/>
    </row>
    <row r="243" spans="1:7">
      <c r="A243" s="66"/>
      <c r="B243" s="67"/>
      <c r="C243" s="67"/>
      <c r="D243" s="68"/>
      <c r="E243" s="68"/>
      <c r="F243" s="69"/>
      <c r="G243" s="73"/>
    </row>
    <row r="244" spans="1:7">
      <c r="A244" s="66"/>
      <c r="B244" s="67"/>
      <c r="C244" s="67"/>
      <c r="D244" s="68"/>
      <c r="E244" s="68"/>
      <c r="F244" s="69"/>
      <c r="G244" s="73"/>
    </row>
    <row r="245" spans="1:7">
      <c r="A245" s="66"/>
      <c r="B245" s="67"/>
      <c r="C245" s="67"/>
      <c r="D245" s="68"/>
      <c r="E245" s="68"/>
      <c r="F245" s="69"/>
      <c r="G245" s="73"/>
    </row>
    <row r="246" spans="1:7">
      <c r="A246" s="66"/>
      <c r="B246" s="67"/>
      <c r="C246" s="67"/>
      <c r="D246" s="68"/>
      <c r="E246" s="68"/>
      <c r="F246" s="69"/>
      <c r="G246" s="73"/>
    </row>
    <row r="247" spans="1:7">
      <c r="A247" s="66"/>
      <c r="B247" s="67"/>
      <c r="C247" s="67"/>
      <c r="D247" s="68"/>
      <c r="E247" s="68"/>
      <c r="F247" s="69"/>
      <c r="G247" s="73"/>
    </row>
    <row r="248" spans="1:7" s="31" customFormat="1">
      <c r="A248" s="66"/>
      <c r="B248" s="67"/>
      <c r="C248" s="67"/>
      <c r="D248" s="68"/>
      <c r="E248" s="68"/>
      <c r="F248" s="69"/>
      <c r="G248" s="73"/>
    </row>
    <row r="249" spans="1:7">
      <c r="A249" s="66"/>
      <c r="B249" s="67"/>
      <c r="C249" s="67"/>
      <c r="D249" s="68"/>
      <c r="E249" s="68"/>
      <c r="F249" s="69"/>
      <c r="G249" s="73"/>
    </row>
    <row r="250" spans="1:7">
      <c r="A250" s="66"/>
      <c r="B250" s="67"/>
      <c r="C250" s="67"/>
      <c r="D250" s="68"/>
      <c r="E250" s="68"/>
      <c r="F250" s="69"/>
      <c r="G250" s="73"/>
    </row>
    <row r="251" spans="1:7">
      <c r="A251" s="66"/>
      <c r="B251" s="67"/>
      <c r="C251" s="67"/>
      <c r="D251" s="68"/>
      <c r="E251" s="68"/>
      <c r="F251" s="69"/>
      <c r="G251" s="73"/>
    </row>
    <row r="252" spans="1:7">
      <c r="A252" s="66"/>
      <c r="B252" s="67"/>
      <c r="C252" s="67"/>
      <c r="D252" s="68"/>
      <c r="E252" s="68"/>
      <c r="F252" s="69"/>
      <c r="G252" s="73"/>
    </row>
    <row r="253" spans="1:7">
      <c r="A253" s="66"/>
      <c r="B253" s="67"/>
      <c r="C253" s="67"/>
      <c r="D253" s="68"/>
      <c r="E253" s="68"/>
      <c r="F253" s="69"/>
      <c r="G253" s="73"/>
    </row>
    <row r="254" spans="1:7">
      <c r="A254" s="66"/>
      <c r="B254" s="67"/>
      <c r="C254" s="67"/>
      <c r="D254" s="68"/>
      <c r="E254" s="68"/>
      <c r="F254" s="69"/>
      <c r="G254" s="73"/>
    </row>
    <row r="255" spans="1:7">
      <c r="A255" s="66"/>
      <c r="B255" s="67"/>
      <c r="C255" s="67"/>
      <c r="D255" s="68"/>
      <c r="E255" s="68"/>
      <c r="F255" s="69"/>
      <c r="G255" s="73"/>
    </row>
    <row r="256" spans="1:7">
      <c r="A256" s="66"/>
      <c r="B256" s="67"/>
      <c r="C256" s="67"/>
      <c r="D256" s="68"/>
      <c r="E256" s="68"/>
      <c r="F256" s="69"/>
      <c r="G256" s="73"/>
    </row>
    <row r="257" spans="1:7">
      <c r="A257" s="66"/>
      <c r="B257" s="67"/>
      <c r="C257" s="67"/>
      <c r="D257" s="68"/>
      <c r="E257" s="68"/>
      <c r="F257" s="69"/>
      <c r="G257" s="69"/>
    </row>
    <row r="258" spans="1:7">
      <c r="A258" s="66"/>
      <c r="B258" s="67"/>
      <c r="C258" s="67"/>
      <c r="D258" s="68"/>
      <c r="E258" s="68"/>
      <c r="F258" s="69"/>
      <c r="G258" s="73"/>
    </row>
    <row r="259" spans="1:7">
      <c r="A259" s="66"/>
      <c r="B259" s="67"/>
      <c r="C259" s="67"/>
      <c r="D259" s="68"/>
      <c r="E259" s="68"/>
      <c r="F259" s="69"/>
      <c r="G259" s="73"/>
    </row>
    <row r="260" spans="1:7">
      <c r="A260" s="66"/>
      <c r="B260" s="67"/>
      <c r="C260" s="67"/>
      <c r="D260" s="68"/>
      <c r="E260" s="68"/>
      <c r="F260" s="69"/>
      <c r="G260" s="73"/>
    </row>
    <row r="261" spans="1:7">
      <c r="A261" s="66"/>
      <c r="B261" s="67"/>
      <c r="C261" s="67"/>
      <c r="D261" s="68"/>
      <c r="E261" s="68"/>
      <c r="F261" s="69"/>
      <c r="G261" s="73"/>
    </row>
    <row r="262" spans="1:7">
      <c r="A262" s="66"/>
      <c r="B262" s="67"/>
      <c r="C262" s="70"/>
      <c r="D262" s="68"/>
      <c r="E262" s="68"/>
      <c r="F262" s="69"/>
      <c r="G262" s="69"/>
    </row>
    <row r="263" spans="1:7">
      <c r="A263" s="66"/>
      <c r="B263" s="67"/>
      <c r="C263" s="70"/>
      <c r="D263" s="68"/>
      <c r="E263" s="68"/>
      <c r="F263" s="69"/>
      <c r="G263" s="69"/>
    </row>
    <row r="264" spans="1:7">
      <c r="A264" s="66"/>
      <c r="B264" s="67"/>
      <c r="C264" s="70"/>
      <c r="D264" s="68"/>
      <c r="E264" s="68"/>
      <c r="F264" s="69"/>
      <c r="G264" s="69"/>
    </row>
    <row r="265" spans="1:7">
      <c r="A265" s="80"/>
      <c r="B265" s="81"/>
      <c r="C265" s="81"/>
      <c r="D265" s="59"/>
      <c r="E265" s="59"/>
      <c r="F265" s="57"/>
      <c r="G265" s="57"/>
    </row>
    <row r="266" spans="1:7">
      <c r="A266" s="58"/>
      <c r="B266" s="57"/>
      <c r="C266" s="57"/>
      <c r="D266" s="59"/>
      <c r="E266" s="59"/>
      <c r="F266" s="57"/>
      <c r="G266" s="57"/>
    </row>
    <row r="267" spans="1:7">
      <c r="A267" s="58"/>
      <c r="B267" s="57"/>
      <c r="C267" s="57"/>
      <c r="D267" s="59"/>
      <c r="E267" s="59"/>
      <c r="F267" s="57"/>
      <c r="G267" s="57"/>
    </row>
    <row r="268" spans="1:7">
      <c r="A268" s="58"/>
      <c r="B268" s="57"/>
      <c r="C268" s="57"/>
      <c r="D268" s="59"/>
      <c r="E268" s="59"/>
      <c r="F268" s="57"/>
      <c r="G268" s="57"/>
    </row>
    <row r="269" spans="1:7">
      <c r="A269" s="82"/>
      <c r="B269" s="83"/>
      <c r="C269" s="83"/>
      <c r="D269" s="84"/>
      <c r="E269" s="84"/>
      <c r="F269" s="85"/>
      <c r="G269" s="57"/>
    </row>
  </sheetData>
  <customSheetViews>
    <customSheetView guid="{32804526-0746-47BD-964F-D9E07D890F54}" state="hidden">
      <selection activeCell="C24" sqref="C24"/>
      <pageMargins left="0.7" right="0.7" top="0.75" bottom="0.75" header="0.3" footer="0.3"/>
    </customSheetView>
    <customSheetView guid="{586B0D0F-AFD5-489E-A810-F5CDD42644EC}">
      <selection activeCell="L9" sqref="L9"/>
      <pageMargins left="0.7" right="0.7" top="0.75" bottom="0.75" header="0.3" footer="0.3"/>
    </customSheetView>
  </customSheetViews>
  <mergeCells count="8">
    <mergeCell ref="B183:B185"/>
    <mergeCell ref="A5:A6"/>
    <mergeCell ref="A183:A185"/>
    <mergeCell ref="C5:C6"/>
    <mergeCell ref="B2:G2"/>
    <mergeCell ref="B5:B6"/>
    <mergeCell ref="D5:D6"/>
    <mergeCell ref="F5:G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customSheetViews>
    <customSheetView guid="{32804526-0746-47BD-964F-D9E07D890F54}" state="hidden">
      <pageMargins left="0.7" right="0.7" top="0.75" bottom="0.75" header="0.3" footer="0.3"/>
    </customSheetView>
    <customSheetView guid="{586B0D0F-AFD5-489E-A810-F5CDD42644EC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 ПРО</vt:lpstr>
      <vt:lpstr>Реестр актов</vt:lpstr>
      <vt:lpstr>Лист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Белова-АЮ</dc:creator>
  <cp:lastModifiedBy>Работа</cp:lastModifiedBy>
  <cp:lastPrinted>2017-03-30T08:23:51Z</cp:lastPrinted>
  <dcterms:created xsi:type="dcterms:W3CDTF">2017-03-23T06:08:25Z</dcterms:created>
  <dcterms:modified xsi:type="dcterms:W3CDTF">2017-03-30T12:04:30Z</dcterms:modified>
</cp:coreProperties>
</file>