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72" i="1"/>
  <c r="K47"/>
  <c r="K94"/>
  <c r="K64"/>
  <c r="K65"/>
  <c r="K53"/>
  <c r="K52"/>
  <c r="K51"/>
  <c r="K56"/>
  <c r="K57"/>
  <c r="K88"/>
  <c r="K87"/>
  <c r="K50"/>
  <c r="K48"/>
  <c r="K49"/>
  <c r="K55"/>
  <c r="K58"/>
  <c r="K59"/>
  <c r="K71"/>
  <c r="K54"/>
  <c r="K72"/>
  <c r="K73"/>
  <c r="K74"/>
  <c r="K75"/>
  <c r="K76"/>
  <c r="K77"/>
  <c r="K78"/>
  <c r="K79"/>
  <c r="K80"/>
  <c r="K81"/>
  <c r="K82"/>
  <c r="K83"/>
  <c r="K84"/>
  <c r="K85"/>
  <c r="K86"/>
  <c r="K89"/>
  <c r="K90"/>
  <c r="K91"/>
  <c r="K63"/>
  <c r="H108"/>
  <c r="M91" l="1"/>
  <c r="M90"/>
  <c r="M92" s="1"/>
  <c r="M89"/>
  <c r="M88"/>
  <c r="M87"/>
  <c r="M86"/>
  <c r="M85"/>
  <c r="M84"/>
  <c r="M83"/>
  <c r="M82"/>
  <c r="M81"/>
  <c r="M80"/>
  <c r="M79"/>
  <c r="M78"/>
  <c r="M77"/>
  <c r="M76"/>
  <c r="M75"/>
  <c r="M74"/>
  <c r="M73"/>
  <c r="M71"/>
  <c r="M64"/>
  <c r="M65"/>
  <c r="M59"/>
  <c r="M58"/>
  <c r="M57"/>
  <c r="M56"/>
  <c r="M55"/>
  <c r="M54"/>
  <c r="M53" l="1"/>
  <c r="M52"/>
  <c r="M51"/>
  <c r="M50"/>
  <c r="M49"/>
  <c r="M48"/>
  <c r="M47"/>
  <c r="K100"/>
  <c r="M63"/>
  <c r="M66" s="1"/>
  <c r="M60" l="1"/>
  <c r="F12"/>
  <c r="E59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50"/>
  <c r="F50" s="1"/>
  <c r="E49"/>
  <c r="F49" s="1"/>
  <c r="E48"/>
  <c r="F48" s="1"/>
  <c r="E47"/>
  <c r="F47" s="1"/>
  <c r="E41"/>
  <c r="F41" s="1"/>
  <c r="E40"/>
  <c r="F40" s="1"/>
  <c r="E37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1"/>
  <c r="F11" s="1"/>
  <c r="E10"/>
  <c r="F10" s="1"/>
  <c r="E9"/>
  <c r="F9" s="1"/>
  <c r="E8"/>
  <c r="F8" s="1"/>
  <c r="E60" l="1"/>
  <c r="F60" s="1"/>
  <c r="E38"/>
  <c r="F38" s="1"/>
  <c r="F13"/>
  <c r="E13"/>
  <c r="F37"/>
  <c r="F59"/>
  <c r="E42"/>
  <c r="F42" s="1"/>
  <c r="M40" l="1"/>
  <c r="K15"/>
  <c r="M24"/>
  <c r="M10"/>
  <c r="M12"/>
  <c r="M25"/>
  <c r="M22"/>
  <c r="M8"/>
  <c r="M11"/>
  <c r="M13" s="1"/>
  <c r="M41"/>
  <c r="M44"/>
  <c r="M45" s="1"/>
  <c r="M23"/>
  <c r="M36"/>
  <c r="M35"/>
  <c r="M26"/>
  <c r="M31"/>
  <c r="M32"/>
  <c r="M30"/>
  <c r="M15"/>
  <c r="M29"/>
  <c r="M33"/>
  <c r="M34"/>
  <c r="M27"/>
  <c r="M21"/>
  <c r="M20"/>
  <c r="M19"/>
  <c r="M16"/>
  <c r="M17"/>
  <c r="M18"/>
  <c r="M37"/>
  <c r="M28"/>
  <c r="K44"/>
  <c r="K45" s="1"/>
  <c r="K40"/>
  <c r="K41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2"/>
  <c r="K11"/>
  <c r="K10"/>
  <c r="K8"/>
  <c r="K96"/>
  <c r="K105"/>
  <c r="K101"/>
  <c r="K95"/>
  <c r="K106"/>
  <c r="K97"/>
  <c r="K99"/>
  <c r="K98"/>
  <c r="K103"/>
  <c r="K104"/>
  <c r="K102"/>
  <c r="I106"/>
  <c r="I105"/>
  <c r="I104"/>
  <c r="I103"/>
  <c r="I102"/>
  <c r="I101"/>
  <c r="I100"/>
  <c r="I99"/>
  <c r="I98"/>
  <c r="I97"/>
  <c r="I96"/>
  <c r="I95"/>
  <c r="I94"/>
  <c r="M105"/>
  <c r="M106"/>
  <c r="M104"/>
  <c r="M103"/>
  <c r="M102"/>
  <c r="M101"/>
  <c r="M100"/>
  <c r="M99"/>
  <c r="M98"/>
  <c r="M97"/>
  <c r="M96"/>
  <c r="M95"/>
  <c r="M94"/>
  <c r="H106"/>
  <c r="H105"/>
  <c r="H104"/>
  <c r="H103"/>
  <c r="H102"/>
  <c r="H101"/>
  <c r="H100"/>
  <c r="H99"/>
  <c r="H98"/>
  <c r="H97"/>
  <c r="H96"/>
  <c r="H95"/>
  <c r="H94"/>
  <c r="I64"/>
  <c r="H64"/>
  <c r="I63"/>
  <c r="H63"/>
  <c r="I65"/>
  <c r="I66" s="1"/>
  <c r="H65"/>
  <c r="H66" s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O9"/>
  <c r="O68"/>
  <c r="O41"/>
  <c r="O37"/>
  <c r="D59"/>
  <c r="D58"/>
  <c r="H58" s="1"/>
  <c r="D57"/>
  <c r="H57" s="1"/>
  <c r="D56"/>
  <c r="H56" s="1"/>
  <c r="D55"/>
  <c r="H55" s="1"/>
  <c r="D54"/>
  <c r="H54" s="1"/>
  <c r="D53"/>
  <c r="H53" s="1"/>
  <c r="D52"/>
  <c r="H52" s="1"/>
  <c r="D51"/>
  <c r="H51" s="1"/>
  <c r="D50"/>
  <c r="H50" s="1"/>
  <c r="D49"/>
  <c r="H49" s="1"/>
  <c r="D48"/>
  <c r="H48" s="1"/>
  <c r="D47"/>
  <c r="H47" s="1"/>
  <c r="I40"/>
  <c r="H40"/>
  <c r="I41"/>
  <c r="H41"/>
  <c r="D41"/>
  <c r="D40"/>
  <c r="O40"/>
  <c r="I37"/>
  <c r="I36"/>
  <c r="O36"/>
  <c r="I35"/>
  <c r="O35"/>
  <c r="I34"/>
  <c r="O34"/>
  <c r="I33"/>
  <c r="O33"/>
  <c r="I32"/>
  <c r="O32"/>
  <c r="I31"/>
  <c r="O31"/>
  <c r="I30"/>
  <c r="O30"/>
  <c r="I29"/>
  <c r="O29"/>
  <c r="I28"/>
  <c r="O28"/>
  <c r="I27"/>
  <c r="O27"/>
  <c r="I26"/>
  <c r="O26"/>
  <c r="I25"/>
  <c r="O25"/>
  <c r="I24"/>
  <c r="O24"/>
  <c r="I23"/>
  <c r="O23"/>
  <c r="I22"/>
  <c r="O22"/>
  <c r="I21"/>
  <c r="O21"/>
  <c r="O20"/>
  <c r="I20"/>
  <c r="O19"/>
  <c r="O18"/>
  <c r="I19"/>
  <c r="I18"/>
  <c r="I17"/>
  <c r="O17"/>
  <c r="I16"/>
  <c r="O8"/>
  <c r="O10"/>
  <c r="O11"/>
  <c r="O16"/>
  <c r="H35"/>
  <c r="H34"/>
  <c r="D34"/>
  <c r="D37"/>
  <c r="H37" s="1"/>
  <c r="D36"/>
  <c r="H36" s="1"/>
  <c r="D33"/>
  <c r="H33" s="1"/>
  <c r="D32"/>
  <c r="H32" s="1"/>
  <c r="D31"/>
  <c r="H31" s="1"/>
  <c r="D30"/>
  <c r="H30" s="1"/>
  <c r="D29"/>
  <c r="H29" s="1"/>
  <c r="D28"/>
  <c r="H28" s="1"/>
  <c r="D27"/>
  <c r="H27" s="1"/>
  <c r="D26"/>
  <c r="H26" s="1"/>
  <c r="D25"/>
  <c r="H25" s="1"/>
  <c r="D24"/>
  <c r="H24" s="1"/>
  <c r="D23"/>
  <c r="H23" s="1"/>
  <c r="D22"/>
  <c r="H22" s="1"/>
  <c r="D21"/>
  <c r="H21" s="1"/>
  <c r="D20"/>
  <c r="H20" s="1"/>
  <c r="D19"/>
  <c r="H19" s="1"/>
  <c r="D18"/>
  <c r="H18" s="1"/>
  <c r="D17"/>
  <c r="H17" s="1"/>
  <c r="D16"/>
  <c r="H16" s="1"/>
  <c r="O15"/>
  <c r="I15"/>
  <c r="H15"/>
  <c r="K38" l="1"/>
  <c r="M42"/>
  <c r="K13"/>
  <c r="K42"/>
  <c r="M38"/>
  <c r="O69"/>
  <c r="H68"/>
  <c r="H69" s="1"/>
  <c r="I107"/>
  <c r="M107"/>
  <c r="H107"/>
  <c r="I38"/>
  <c r="O13"/>
  <c r="O38"/>
  <c r="D42"/>
  <c r="H42"/>
  <c r="D60"/>
  <c r="I42"/>
  <c r="O42"/>
  <c r="H92"/>
  <c r="H59"/>
  <c r="H60" s="1"/>
  <c r="H38"/>
  <c r="M61" l="1"/>
  <c r="O61"/>
  <c r="D15"/>
  <c r="D38" s="1"/>
  <c r="H12" l="1"/>
  <c r="I11"/>
  <c r="H11"/>
  <c r="I44"/>
  <c r="I45" s="1"/>
  <c r="H44"/>
  <c r="H45" s="1"/>
  <c r="D44"/>
  <c r="I10"/>
  <c r="H10"/>
  <c r="I8"/>
  <c r="I13" s="1"/>
  <c r="H8"/>
  <c r="D11"/>
  <c r="D10"/>
  <c r="D9"/>
  <c r="D8"/>
  <c r="D45" l="1"/>
  <c r="E44"/>
  <c r="H13"/>
  <c r="H61" s="1"/>
  <c r="D13"/>
  <c r="I61"/>
  <c r="D61" l="1"/>
  <c r="D108" s="1"/>
  <c r="E45"/>
  <c r="F44"/>
  <c r="F45" l="1"/>
  <c r="E61"/>
  <c r="F61" l="1"/>
  <c r="F108" s="1"/>
  <c r="E108"/>
</calcChain>
</file>

<file path=xl/sharedStrings.xml><?xml version="1.0" encoding="utf-8"?>
<sst xmlns="http://schemas.openxmlformats.org/spreadsheetml/2006/main" count="731" uniqueCount="449">
  <si>
    <t>Наименование  мероприятия, объекта</t>
  </si>
  <si>
    <t>Наименование исполнителя</t>
  </si>
  <si>
    <t>Акт  о приемке выполненных работ КС-2 и товарная накладная на давальческие материалы (при наличии)</t>
  </si>
  <si>
    <t>Номер и дата</t>
  </si>
  <si>
    <t xml:space="preserve">Стоимость по акту без НДС, тыс. руб. </t>
  </si>
  <si>
    <t>Всего</t>
  </si>
  <si>
    <t>Стоимость по акту без НДС, тыс. руб.</t>
  </si>
  <si>
    <t>Акт о приеме-передаче основных средств ОС-1, ОС-1а (при его отсутсвии можно указать реквизиты акта КС-14)</t>
  </si>
  <si>
    <t>Акт приемки-передачи проектно-сметной документации</t>
  </si>
  <si>
    <t>Техническое перевооружение и реконструкция</t>
  </si>
  <si>
    <t>1.1.</t>
  </si>
  <si>
    <t>Энергосбережение и повышение энергетической эффективности</t>
  </si>
  <si>
    <t>1.1.1</t>
  </si>
  <si>
    <t xml:space="preserve">Реконструкция Ф 16-БЖД, сооружения электроэнергетики» от подстанции №  3 в сторону опоры № 1 </t>
  </si>
  <si>
    <t>1.1.2</t>
  </si>
  <si>
    <t>Реконструкция КЛ-6 кВ от ТЭЦ «КМК» до ЦРП-1, переход реки Аба (кабельная эстакада)</t>
  </si>
  <si>
    <t>1.1.3</t>
  </si>
  <si>
    <t>Реконструкция КЛ-6 кВ ф. 11-РП-2-2 от ПС №1 "Центральная" до пр. Металлургов</t>
  </si>
  <si>
    <t>1.1.4</t>
  </si>
  <si>
    <t>Реконструкция КЛ-6 кВ ф.7-РП-27-1 кабель 1,  ф. 7-РП-27-1 кабель 2 от ПС №1 "Центральная" до РП-27</t>
  </si>
  <si>
    <t>1.1.5</t>
  </si>
  <si>
    <t>Реконструкция КЛ-6кВ ПС №5 - ТТП-10, Центральный район</t>
  </si>
  <si>
    <t>в т.ч. стоимость материалов</t>
  </si>
  <si>
    <t>№ п/п</t>
  </si>
  <si>
    <t xml:space="preserve">Итого по мероприятию </t>
  </si>
  <si>
    <t>1.2.</t>
  </si>
  <si>
    <t>1.2.1</t>
  </si>
  <si>
    <t>Реконструкция ПС №6 "Н.Островская" с заменой силового трансформатора 16МВА</t>
  </si>
  <si>
    <t>1.2.2</t>
  </si>
  <si>
    <t>Реконструкция закрытой трансформаторной подстанции ТП-300 с установкой резервного силового трансформатора 0,4 МВА</t>
  </si>
  <si>
    <t>1.2.3</t>
  </si>
  <si>
    <t>Реконструкция закрытой трансформаторной подстанции ТП-306 с установкой резервного силового трансформатора 0,4 МВА</t>
  </si>
  <si>
    <t>1.2.4</t>
  </si>
  <si>
    <t>Реконструкция закрытой трансформаторной подстанции ТП-310 с установкой резервного силового трансформатора 0,25 МВА</t>
  </si>
  <si>
    <t>1.2.5</t>
  </si>
  <si>
    <t>Реконструкция закрытой трансформаторной подстанции ТП-348 с установкой резервного силового трансформатора 0,4 МВА</t>
  </si>
  <si>
    <t>1.2.6</t>
  </si>
  <si>
    <t>Реконструкция закрытой трансформаторной подстанции ТП-367 с установкой резервного силового трансформатора 0,4 МВА</t>
  </si>
  <si>
    <t>1.2.7</t>
  </si>
  <si>
    <t>Реконструкция закрытой трансформаторной подстанции ТП-388 с установкой резервного силового трансформатора 0,25 МВА</t>
  </si>
  <si>
    <t>1.2.8</t>
  </si>
  <si>
    <t>Реконструкция закрытой трансформаторной подстанции ТП-187 с установкой резервного силового трансформатора 0,4 МВА</t>
  </si>
  <si>
    <t>1.2.9</t>
  </si>
  <si>
    <t>Реконструкция закрытой трансформаторной подстанции ТП-186 с установкой резервного силового трансформатора 0,4 МВА</t>
  </si>
  <si>
    <t>1.2.10</t>
  </si>
  <si>
    <t>Реконструкция закрытой трансформаторной подстанции ТП-680 с установкой резервного силового трансформатора 0,4 МВА</t>
  </si>
  <si>
    <t>1.2.11</t>
  </si>
  <si>
    <t>Реконструкция закрытой трансформаторной подстанции ТП-701 с установкой резервного силового трансформатора 0,63 МВА</t>
  </si>
  <si>
    <t>1.2.12</t>
  </si>
  <si>
    <t>Реконструкция закрытой трансформаторной подстанции ТП-435 с установкой резервного силового трансформатора 0,4 МВА</t>
  </si>
  <si>
    <t>1.2.13</t>
  </si>
  <si>
    <t>Реконструкция закрытой трансформаторной подстанции ТП-450 с установкой резервного силового трансформатора 0,4 МВА</t>
  </si>
  <si>
    <t>1.2.14</t>
  </si>
  <si>
    <t>Реконструкция закрытой трансформаторной подстанции ТП-456 с установкой резервного силового трансформатора 0,4 МВА</t>
  </si>
  <si>
    <t>1.2.15</t>
  </si>
  <si>
    <t>Реконструкция закрытой трансформаторной подстанции ТП-468 с установкой резервного силового трансформатора 0,4 МВА</t>
  </si>
  <si>
    <t>1.2.16</t>
  </si>
  <si>
    <t>Реконструкция закрытой трансформаторной подстанции ТП-470 с установкой резервного силового трансформатора 0,63 МВА</t>
  </si>
  <si>
    <t>1.2.17</t>
  </si>
  <si>
    <t>Реконструкция закрытой трансформаторной подстанции ТП-480 с установкой резервного силового трансформатора 0,4 МВА</t>
  </si>
  <si>
    <t>1.2.18</t>
  </si>
  <si>
    <t>Реконструкция закрытой трансформаторной подстанции ТП-499 с установкой резервного силового трансформатора 0,63 МВА</t>
  </si>
  <si>
    <t>1.2.19</t>
  </si>
  <si>
    <t>Реконструкция распределительного пункта, совмещенного с закрытой трансформаторной подстанцией РП-6 с установкой резервного силового трансформатора 0,63 МВА</t>
  </si>
  <si>
    <t>1.2.20</t>
  </si>
  <si>
    <t>Реконструкция закрытого распределительного пункта, совмещенного с трансформаторной подстанцией РП-35 с установкой резервного силового трансформатора 1 МВА</t>
  </si>
  <si>
    <t>1.2.21</t>
  </si>
  <si>
    <t>Реконструкция закрытой трансформаторной подстанции ТП-72 с заменой силового трансформатора 0,4 МВА на 0,63 МВА</t>
  </si>
  <si>
    <t>1.2.22</t>
  </si>
  <si>
    <t>Реконструкция закрытой трансформаторной подстанции ТП-284 с заменой силовых трансформаторов 2х0,4 МВА на 2х0,63 МВА</t>
  </si>
  <si>
    <t>1.2.23</t>
  </si>
  <si>
    <t>Реконструкция РУ-0,4кВ центрального распределительного пункта ЦРП-2 с установкой 4-х панелей ЩО-70</t>
  </si>
  <si>
    <t>3.</t>
  </si>
  <si>
    <t>АИИСКУЭ</t>
  </si>
  <si>
    <t>3.1</t>
  </si>
  <si>
    <t>Монтаж АИИСКУЭ</t>
  </si>
  <si>
    <t>4.</t>
  </si>
  <si>
    <t>Приобретение основных средств приборов и спец. технике</t>
  </si>
  <si>
    <t>4.1</t>
  </si>
  <si>
    <t>ПКЭ Ресурс-UF2MB-3П15-5, ГОСТ Р 52319-2005, 51522-99</t>
  </si>
  <si>
    <t>4.2</t>
  </si>
  <si>
    <t>Комплект поисковый КИП-2Т</t>
  </si>
  <si>
    <t>4.3</t>
  </si>
  <si>
    <t>Измеритель параметров УЗО ПЗО-500 ПРО</t>
  </si>
  <si>
    <t>4.4</t>
  </si>
  <si>
    <t>Рефлектометр портативный РЕЙС-105М1, ГОСТ ТУ ШМИЯ.411299.002</t>
  </si>
  <si>
    <t>4.5</t>
  </si>
  <si>
    <t>Обогреватель Эколайн эл. 30R P=3000 Вт 380В</t>
  </si>
  <si>
    <t>4.6</t>
  </si>
  <si>
    <t>Обогреватель Эколайн эл. 20R P=2000 Вт 220В</t>
  </si>
  <si>
    <t>4.7</t>
  </si>
  <si>
    <t>Тепловая завеса Тропик М-6 6 кВт с пультом</t>
  </si>
  <si>
    <t>4.8</t>
  </si>
  <si>
    <t>Генератор сварочный DY6500LXW 5,5 кВт</t>
  </si>
  <si>
    <t>4.9</t>
  </si>
  <si>
    <t>Установка для аргоновой сварки УДГУ-350/СЭ</t>
  </si>
  <si>
    <t>4.10</t>
  </si>
  <si>
    <t>ТрансформаторОЛС-2,5-10/0,23</t>
  </si>
  <si>
    <t>4.11</t>
  </si>
  <si>
    <t>Трансформатор ТПОЛ-10 200/5</t>
  </si>
  <si>
    <t>4.12</t>
  </si>
  <si>
    <t>Приемник ИП-3</t>
  </si>
  <si>
    <t>4.13</t>
  </si>
  <si>
    <t>Кабеледефектоискатель Атлет ТЭК-127АНЭ</t>
  </si>
  <si>
    <t xml:space="preserve">5. </t>
  </si>
  <si>
    <t>5.1</t>
  </si>
  <si>
    <t>Реконструкция РП-6 с установкой дополнительного оборудования, Заводской район, г.Новокузнецк</t>
  </si>
  <si>
    <t>5.2</t>
  </si>
  <si>
    <t>Установка в/в ячейки и трансформаторов напряжения в РУ-6кВ РП-16, г. Новокузнецк</t>
  </si>
  <si>
    <t>5.3</t>
  </si>
  <si>
    <t>Монтаж высоковольтного оборудования в РУ-6кВ РП-22, Куйбышевский район, г. Новокузнецк</t>
  </si>
  <si>
    <t>6.</t>
  </si>
  <si>
    <t>Проектные работы (ИП2016)</t>
  </si>
  <si>
    <t>6.1.</t>
  </si>
  <si>
    <t>Выполнение проектных работ по договору ИП-4-16/ГЭС-4-16 (без НДС)</t>
  </si>
  <si>
    <t xml:space="preserve">7. </t>
  </si>
  <si>
    <t>7.1</t>
  </si>
  <si>
    <t>Выключатель ВТД-35</t>
  </si>
  <si>
    <t>7.2</t>
  </si>
  <si>
    <t>Генератор сварочный DY6500LXW 5/5кВт</t>
  </si>
  <si>
    <t>7.3</t>
  </si>
  <si>
    <t>Измер. Показат. Качества э. э. UF2M-3T52-5-100-1000</t>
  </si>
  <si>
    <t>7.4</t>
  </si>
  <si>
    <t>Измер. Показат. Качества э. э. UF2MВ-3П15-5</t>
  </si>
  <si>
    <t>7.5</t>
  </si>
  <si>
    <t>Испытатель ср-в релейной защиты Нептун-3 ГОСТТУ 3430-031-17326295-06</t>
  </si>
  <si>
    <t>7.6</t>
  </si>
  <si>
    <t>Конденсатор ИК-5-200У2</t>
  </si>
  <si>
    <t>7.7</t>
  </si>
  <si>
    <t>Лестница подвесная с навесной площадкой</t>
  </si>
  <si>
    <t>7.8</t>
  </si>
  <si>
    <t>Аппарат для испытания АИП-70</t>
  </si>
  <si>
    <t>7.9</t>
  </si>
  <si>
    <t>Аппарат испытания АИД-70В ГОСТТУ 6588-001-76556674-2005</t>
  </si>
  <si>
    <t>7.10</t>
  </si>
  <si>
    <t>Бензопила STIHL MS 390 3.4кВт, шина 45см</t>
  </si>
  <si>
    <t>7.11</t>
  </si>
  <si>
    <t>Стенд механических испытаний СВЭЗ-10 (с элек. Динамометром, защ. Экраном)</t>
  </si>
  <si>
    <t>7.12</t>
  </si>
  <si>
    <t>Терминал мобильный Рим 099.01-03</t>
  </si>
  <si>
    <t>7.13</t>
  </si>
  <si>
    <t>Терминал мобильный Рим 099.01-04</t>
  </si>
  <si>
    <t>7.14</t>
  </si>
  <si>
    <t>Энерготестер ПЭМ-02(10А;клещи ih=10А d=15мм; диапазон 10Ма-15А, Iном=10А</t>
  </si>
  <si>
    <t>7.15</t>
  </si>
  <si>
    <t>Устройство проверки автоматических выключателей Сатурн-М1 ГОСТТУ 4222-006-17326298-96</t>
  </si>
  <si>
    <t>7.16</t>
  </si>
  <si>
    <t>Трансформатор ТПЛ 10-М-0,5-10Р-200/5 У2</t>
  </si>
  <si>
    <t>7.17</t>
  </si>
  <si>
    <t>Трансформатор напряжения НАМИ 6кВ (2шт)</t>
  </si>
  <si>
    <t>7.18</t>
  </si>
  <si>
    <t>Трансформатор напряжения НАМИ 6кВ (6шт)</t>
  </si>
  <si>
    <t>7.19</t>
  </si>
  <si>
    <t>Трансформатор напряжения НАМИ 6кВ (РП-2 РУ-6 яч №16-НТМИ-2)</t>
  </si>
  <si>
    <t>7.20</t>
  </si>
  <si>
    <t>Трансформатор НАМИТ-10-2 УУХЛ-2 10кВ</t>
  </si>
  <si>
    <t>7.21</t>
  </si>
  <si>
    <t>Трансформатор НАМИТ-10-2 УХЛ2 10кВ</t>
  </si>
  <si>
    <t>_</t>
  </si>
  <si>
    <t>ООО "Новация"</t>
  </si>
  <si>
    <t>ООО "Стройинвест"</t>
  </si>
  <si>
    <t>ООО "Интеллект Плюс"</t>
  </si>
  <si>
    <t>ООО "Сибирский Торговый Дом"</t>
  </si>
  <si>
    <t>5-15 э/16 30.12.2016</t>
  </si>
  <si>
    <t>1 ГЭС 30.09.2016;
5-49э/16 30.12.2016;
5-61/16 30.12.2016</t>
  </si>
  <si>
    <t>5-48э/16 31.10.2016</t>
  </si>
  <si>
    <t>5-156э/16 30.12.2016</t>
  </si>
  <si>
    <t>Утвержденная РЭК на 2016 год стоимость мероприятия (тыс. руб. с НДС )</t>
  </si>
  <si>
    <t>1 от 31.07.2016 г.</t>
  </si>
  <si>
    <t>29 от 31.07.2016 г.</t>
  </si>
  <si>
    <t>5-63-1э/16 30.12.2016</t>
  </si>
  <si>
    <t>28 от 31.07.2016 г.</t>
  </si>
  <si>
    <t>5-42э/16 30.12.2016;
5-13/16 30.12.2016</t>
  </si>
  <si>
    <t>5-32э/16 30.11.2016</t>
  </si>
  <si>
    <t>5-31э/16 30.11.2016</t>
  </si>
  <si>
    <t>5-3 э/16 30.12.2016</t>
  </si>
  <si>
    <t>5-30э/16 30.12.2016</t>
  </si>
  <si>
    <t>5-29э/16 30.12.2016</t>
  </si>
  <si>
    <t>5-4э/16 30.12.2016</t>
  </si>
  <si>
    <t>5-21э/16 31.10.2016</t>
  </si>
  <si>
    <t>5-20э/16 31.10.2016</t>
  </si>
  <si>
    <t>5-19э/16 31.10.2016</t>
  </si>
  <si>
    <t>5-18э/16 31.10.2016</t>
  </si>
  <si>
    <t>3-2э/16 30.12.2016</t>
  </si>
  <si>
    <t>3-27э/16 30.12.2016</t>
  </si>
  <si>
    <t>3-26э/16 30.12.2016</t>
  </si>
  <si>
    <t>3-25э/16 30.12.2016</t>
  </si>
  <si>
    <t>3-24э/16 31.10.2016</t>
  </si>
  <si>
    <t>3-23э/16 31.10.2016</t>
  </si>
  <si>
    <t>3-22э/16 31.10.2016</t>
  </si>
  <si>
    <t>5-40э/16 30.12.2016</t>
  </si>
  <si>
    <t>5-43э/16 30.12.2016</t>
  </si>
  <si>
    <t>5-51э/16 31.10.2016</t>
  </si>
  <si>
    <t>5-52э/16 30.12.2016</t>
  </si>
  <si>
    <t>5-1э/16 30.12.2016</t>
  </si>
  <si>
    <t>11 от 31.07.2016</t>
  </si>
  <si>
    <t>13 от 31.07.2016</t>
  </si>
  <si>
    <t>14 от 31.07.2016</t>
  </si>
  <si>
    <t>15 от 31.07.2016</t>
  </si>
  <si>
    <t>16 от 31.07.2016</t>
  </si>
  <si>
    <t>17 от 31.07.2016</t>
  </si>
  <si>
    <t>2 от 31.07.2016</t>
  </si>
  <si>
    <t>3 от 31.07.2016</t>
  </si>
  <si>
    <t>4 от 31.07.2016</t>
  </si>
  <si>
    <t xml:space="preserve"> 5 от от 31.07.2016</t>
  </si>
  <si>
    <t>6 от 31.07.2016</t>
  </si>
  <si>
    <t>18 от 31.07.2016</t>
  </si>
  <si>
    <t>19 от 31.07.2016</t>
  </si>
  <si>
    <t>20 от 31.07.2016</t>
  </si>
  <si>
    <t>21 от 31.07.2016</t>
  </si>
  <si>
    <t>7 от 31.07.2016</t>
  </si>
  <si>
    <t>8 от 31.07.2016</t>
  </si>
  <si>
    <t>9 от 31.07.2016</t>
  </si>
  <si>
    <t>22 от 31.07.2016</t>
  </si>
  <si>
    <t>23 от 31.07.2016</t>
  </si>
  <si>
    <t>24 от 31.07.2016</t>
  </si>
  <si>
    <t>25 от 31.07.2016</t>
  </si>
  <si>
    <t>26 от 31.07.2016</t>
  </si>
  <si>
    <t>2.</t>
  </si>
  <si>
    <t>Новое строительство</t>
  </si>
  <si>
    <t>2.1</t>
  </si>
  <si>
    <t>Прокладка резервного кабеля 6 кВ ААШв 3х150 от ТП-132 до ТП-43 и от ТП-43 до ТП-42 длиной 0,395 км</t>
  </si>
  <si>
    <t>2.2</t>
  </si>
  <si>
    <t>Прокладка резервного кабеля 6 кВ ААШв 3х120 от ПС №1 "Центральная" до ТП-209 длиной 1,84 км</t>
  </si>
  <si>
    <t>10 от 31.07.2016 г.</t>
  </si>
  <si>
    <t>5-17э/16 30.11.2016</t>
  </si>
  <si>
    <t>5-50э/16 31.10.2016</t>
  </si>
  <si>
    <t>27 от 31.07.2016 г.</t>
  </si>
  <si>
    <t>Товарна накладная № 820 от 01.12.2016 г.</t>
  </si>
  <si>
    <t>Товарная накладная № 821 от 05.12.2016 г.</t>
  </si>
  <si>
    <t>Товарная накладная № 495 от 19.12.2016 г.</t>
  </si>
  <si>
    <t>Товарная накладная № 823 от 09.12.2016 г.</t>
  </si>
  <si>
    <t>Товарная накладная № 822 от 09.12.2016 г.</t>
  </si>
  <si>
    <t>Товарная накладная 494 от 20.12.2016 г.</t>
  </si>
  <si>
    <t>Товарная накладная № 823 от 09.12.2016 г./Товарная накладная 494 от 20.12.2016 г.</t>
  </si>
  <si>
    <t>Товарная накладная № 823 от 09.12.2016 г</t>
  </si>
  <si>
    <t>3-110э/15 от 30.12.2015 г.</t>
  </si>
  <si>
    <t>5-134э/15 от 30.12.2015</t>
  </si>
  <si>
    <t>5-1042/14 от 31.07.2014</t>
  </si>
  <si>
    <t>28 от 01.10.2016</t>
  </si>
  <si>
    <t>Товарная накладная № 918 от 31.12.2015 г.</t>
  </si>
  <si>
    <t>Всего по программе</t>
  </si>
  <si>
    <t>8.</t>
  </si>
  <si>
    <t xml:space="preserve">Выпадающие доходы, возникшие в результате реализации ООО "Горэлектросеть" технологического присоединения энергопринимающих устройств потребителей с максимальной мощностью, не превыщающей 15 кВт 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</si>
  <si>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</si>
  <si>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</si>
  <si>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</si>
  <si>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</si>
  <si>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</si>
  <si>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</si>
  <si>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</si>
  <si>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</si>
  <si>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</si>
  <si>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</si>
  <si>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</si>
  <si>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</si>
  <si>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</si>
  <si>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Строительство ВЛ-0,4кВ ф.Талдинский от КТП-869, Новоильинский район г.Новокузнецк</t>
  </si>
  <si>
    <t>Строительство ВЛЭП-0,4кВ ф.Офицерский МТП-543 до границ земельного участка дома стр№3 по ул.Большая Камчатка, Заводской район г.Новокузнецк</t>
  </si>
  <si>
    <t>Строительство ВЛЭП-0,4кВ от ф.Левая сторона МТП-505 до границ земельного участка дома стр№54 по ул.Телеутская, Заводской район г.Новокузнецк</t>
  </si>
  <si>
    <t>Строительство ВЛ-0,4кВ КТП-869 до границ земельного участка дома стр.№36 ул.Талдинская, Новоильинский район, г.Новокузнецк</t>
  </si>
  <si>
    <t>Строительство ВЛ-0,4кВ КТП-869 до границ земельного участка дома стр.№3 пр.Талдинская, Новоильинский район, г.Новокузнецк</t>
  </si>
  <si>
    <t>Строительство ВЛ-0,4кВ КТП-869 до границ земельного участка дома стр.№21 пр.Талдинская, Новоильинский район, г.Новокузнецк</t>
  </si>
  <si>
    <t>Строительство ВЛЭП-0,4кВ от ф.Правый МТП-505 до границ земельного участка дома стр№71 по ул.Телеутская, Заводской район г.Новокузнецк</t>
  </si>
  <si>
    <t>Строительство ВЛ-0,4кВ КТП-869 до границ земельного участка дома стр.№18 ул.Шахтерской Славы, Новоильинский район, г.Новокузнецк</t>
  </si>
  <si>
    <t>Строительство ВЛ-0,4кВ от ф.Мечта МТП-504 до границ земельного участка дома стр№145а по ул.Телеутская, Заводской район г.Новокузнецк</t>
  </si>
  <si>
    <t>Строительство ВЛ-0,4кВ ТП-539 до границ земельного участка дома стр№8 по ул.Ангарская, Заводской район г.Новокузнецк</t>
  </si>
  <si>
    <t>Строительство ВЛ-0,4кВ от ВЛЭП-0,4кВ ф.Пекарни МТП-391 до границ земельного участка домов стр№37, стр№32, стр№30А, стр№34, стр№41, стр№36, Кузнецкий район г.Новокузнецк</t>
  </si>
  <si>
    <t>Строительство ВЛ-0,4кВ от ТП-77 через н/в сборку гаражей ул.Пирогова,1 для Электроснабжения нежилого помещения №8 по ул.Орджоникидзе, 22а Центральный район г.Новокузнецк</t>
  </si>
  <si>
    <r>
      <t>Строительство  ВЛЭП-0,4кВ от ВЛ</t>
    </r>
    <r>
      <rPr>
        <sz val="8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-0,4кВ ф.Дружбы МТП-741 до границ земельного участка дома стр.№33 ул.Добрая Шория Куйбышевский район, г. Новокузнецк</t>
    </r>
  </si>
  <si>
    <t>№4-1192/14 от 29.12.2014</t>
  </si>
  <si>
    <t>№3-78э/15 от 30.11.2015</t>
  </si>
  <si>
    <t>№3-79э/15 от 30.11.2015</t>
  </si>
  <si>
    <t>№4-49э/15 от 30.09.2015</t>
  </si>
  <si>
    <t>№4-51э/15 от 30.09.2015</t>
  </si>
  <si>
    <t>№4-50э/15 от 30.09.2015</t>
  </si>
  <si>
    <t>№3-29э/15 от 29.05.2015</t>
  </si>
  <si>
    <t>№4-5/15 от 30.01.2015</t>
  </si>
  <si>
    <t>№3-1193/15 от 30.01.2015</t>
  </si>
  <si>
    <t>№3-47э/15 от 31.08.2015</t>
  </si>
  <si>
    <t>№5-52э/15 от 30.12.2015</t>
  </si>
  <si>
    <t>№5-104э/15 от 30.12.2015</t>
  </si>
  <si>
    <t>№5-92э/15 от 30.12.2015</t>
  </si>
  <si>
    <t>00000050 от 31.12.2015 г.</t>
  </si>
  <si>
    <t>00000028 от 01.11.2015 г.</t>
  </si>
  <si>
    <t>00000048 от 31.12.2015 г.</t>
  </si>
  <si>
    <t>00000047 от 31.12.2015 г.</t>
  </si>
  <si>
    <t>000003632 от 21.04.2016 г.</t>
  </si>
  <si>
    <t>000003598 от 21.04.2016 г.</t>
  </si>
  <si>
    <r>
      <t xml:space="preserve">Акт о приеме-сдаче отремонтированных, реконструированных, модернизированных объектов основных средств </t>
    </r>
    <r>
      <rPr>
        <b/>
        <sz val="8"/>
        <rFont val="Times New Roman"/>
        <family val="1"/>
        <charset val="204"/>
      </rPr>
      <t xml:space="preserve">ОС-6 </t>
    </r>
    <r>
      <rPr>
        <b/>
        <sz val="8"/>
        <color theme="1"/>
        <rFont val="Times New Roman"/>
        <family val="1"/>
        <charset val="204"/>
      </rPr>
      <t>(либо аналогичный документ, утвержденный на предприятии)</t>
    </r>
  </si>
  <si>
    <t>Приобретение основных средств приборов и спец. технике, не учтенных при отчете за период 2014-2016 гг.</t>
  </si>
  <si>
    <t>Мероприятия по технологическому присоединению, возникшие в результате реализации ООО "Горэлектросеть" техноглогического присоединения, и не учтенные в выпадающих доходах за период 2014-2016 гг.</t>
  </si>
  <si>
    <t>000004839 от 31.12.2016 г.</t>
  </si>
  <si>
    <t>000004837 от 31.12.2016 г</t>
  </si>
  <si>
    <t>000004835 от 31.12.2016 г.</t>
  </si>
  <si>
    <t>000004840 от 31.12.2016 г.</t>
  </si>
  <si>
    <t xml:space="preserve">000004843 от 31.12.2016 г. </t>
  </si>
  <si>
    <t>000004813 от 31.12.2016 г</t>
  </si>
  <si>
    <t>000004812 от 31.12.2016 г</t>
  </si>
  <si>
    <t>000004811 от 31.12.2016 г</t>
  </si>
  <si>
    <t>000004810 от 31.12.2016 г</t>
  </si>
  <si>
    <t>000004849 от 31.12.2016 г</t>
  </si>
  <si>
    <t>000004850 от 31.12.2016 г</t>
  </si>
  <si>
    <t>000004847 от 31.12.2016 г</t>
  </si>
  <si>
    <t>000004846 от 31.12.2016 г</t>
  </si>
  <si>
    <t>000004802 от 31.12.2016 г</t>
  </si>
  <si>
    <t>000004842 от 31.12.2016 г</t>
  </si>
  <si>
    <t>000004809 от 31.12.2016 г</t>
  </si>
  <si>
    <t>000004808 от 31.12.2016 г</t>
  </si>
  <si>
    <t>000004807 от 31.12.2016 г</t>
  </si>
  <si>
    <t>000004806 от 31.12.2016 г</t>
  </si>
  <si>
    <t>000004805 от 31.12.2016 г</t>
  </si>
  <si>
    <t>000004804 от 31.12.2016 г</t>
  </si>
  <si>
    <t>000004803 от 31.12.2016 г</t>
  </si>
  <si>
    <t>000004844 от 31.12.2016 г</t>
  </si>
  <si>
    <t>000004845 от 31.12.2016 г</t>
  </si>
  <si>
    <t>000004824 от 31.12.2016 г</t>
  </si>
  <si>
    <t>000004848 от 31.12.2016 г</t>
  </si>
  <si>
    <t>000004838 от 31.12.2016 г</t>
  </si>
  <si>
    <t>000004836 от 31.12.2016 г</t>
  </si>
  <si>
    <t>000004817 от 31.12.2016 г</t>
  </si>
  <si>
    <t>00000032 от 16.12.2016 г.</t>
  </si>
  <si>
    <t>Стоимость по утвержденной программе с учетом корректировок предприятияем некоторых мероприятий в пределах 15%, (тыс.руб. с НДС)</t>
  </si>
  <si>
    <t>Стоимость по утвержденной программе с учетом корректировок предприятияем некоторых мероприятий в пределах 15%, (тыс.руб. без НДС)</t>
  </si>
  <si>
    <t>Итого всего по всем мероприятиям</t>
  </si>
  <si>
    <t>______________   /_________________/    ………………"_____"_____________2017г.</t>
  </si>
  <si>
    <t>м.п.</t>
  </si>
  <si>
    <t xml:space="preserve">(подпись) </t>
  </si>
  <si>
    <t>Представитель ООО "Горэлектросеть"</t>
  </si>
  <si>
    <t xml:space="preserve">00000073 от 31.12.2016 г. </t>
  </si>
  <si>
    <t>Реестр актов  приемки по инвестиционной программе ООО "Горэлектросеть" за 2016 год, в части передачи электроэнергии</t>
  </si>
  <si>
    <t>ГЭС00000058 от 31.12.2016 г.</t>
  </si>
  <si>
    <t>ГЭС0000056 от 31.12.2016 г.</t>
  </si>
  <si>
    <t>ГЭС00000054 от 31.12.2016 г.</t>
  </si>
  <si>
    <t>ГЭС00000059 от 31.12.2016 г.</t>
  </si>
  <si>
    <t>ГЭС00000062 от 31.12.2016 г.</t>
  </si>
  <si>
    <t>ГЭС00000041 от 26.12.2016 г.</t>
  </si>
  <si>
    <t>ГЭС00000040 от 26.12.2016 г.</t>
  </si>
  <si>
    <t>ГЭС00000039 от 26.12.2016 г.</t>
  </si>
  <si>
    <t>ГЭС00000038 от 26.12.2016 г.</t>
  </si>
  <si>
    <t>ГЭС00000068 от 26.12.2016 г.</t>
  </si>
  <si>
    <t>ГЭС00000069 от 26.12.2016 г.</t>
  </si>
  <si>
    <t>ГЭС00000066 от 31.12.2016 г.</t>
  </si>
  <si>
    <t>ГЭС00000065 от 31.12.2016 г.</t>
  </si>
  <si>
    <t>ГЭС00000036 от 26.12.2016 г.</t>
  </si>
  <si>
    <t>ГЭС00000061 от 31.12.2016 г.</t>
  </si>
  <si>
    <t>ГЭС00000034 от 19.12.2016 г.</t>
  </si>
  <si>
    <t>ГЭС00000033 от 19.12.2016 г.</t>
  </si>
  <si>
    <t>ГЭС00000031 от 15.12..2016 г.</t>
  </si>
  <si>
    <t>ГЭС00000030 от 31.12.2016 г.</t>
  </si>
  <si>
    <t>ГЭС00000035 от 23.12.2016 г.</t>
  </si>
  <si>
    <t>ГЭС00000063 от 31.12.2016 г.</t>
  </si>
  <si>
    <t>ГЭС00000037 от 26.12.2016 г.</t>
  </si>
  <si>
    <t>ГЭС00000064 от 31.12.2016 г.</t>
  </si>
  <si>
    <t>ГЭС00000027 от 01.11.2016 г.</t>
  </si>
  <si>
    <t>ГЭС00000067 от 31.12.2016 г.</t>
  </si>
  <si>
    <t>ГЭС00000057 от 31.12.2016 г.</t>
  </si>
  <si>
    <t>ГЭС00000029 от 01.12.2016 г.</t>
  </si>
  <si>
    <t>ГЭС00000055 от 31.12.2016 г.</t>
  </si>
  <si>
    <t>000004841 от 31.12.2016 г</t>
  </si>
  <si>
    <t>ГЭС00000060 от 31.12.2016 г.</t>
  </si>
  <si>
    <t xml:space="preserve">ГЭС00000071 от 31.12.2016 г. </t>
  </si>
  <si>
    <t>000004851 от 31.12.2016 г.</t>
  </si>
  <si>
    <t>ГЭС00000032 от 31.12.2015 г.</t>
  </si>
  <si>
    <t>000004915 от 31.12.2016 г.</t>
  </si>
  <si>
    <t>000004914 от 31.12.2016 г.</t>
  </si>
  <si>
    <t>000004913 от 31.12.2016 г.</t>
  </si>
  <si>
    <t>000004916 от 31.12.2016 г.</t>
  </si>
  <si>
    <t>000004904 от 31.12.2016 г.</t>
  </si>
  <si>
    <t>000004903 от 31.12.2016 г.</t>
  </si>
  <si>
    <t>000004902 от 31.12.2016 г.</t>
  </si>
  <si>
    <t>000004901 от 31.12.2016 г.</t>
  </si>
  <si>
    <t>000004892 от 31.12.2016 г.</t>
  </si>
  <si>
    <t>000004870 от 31.12.2016 г.</t>
  </si>
  <si>
    <t>000004882 от 31.12.2016 г.</t>
  </si>
  <si>
    <t>000004879 от 31.12.2016 г.</t>
  </si>
  <si>
    <t>000004880 от 31.12.2016 г.</t>
  </si>
  <si>
    <t>000004877 от 31.12.2016 г.</t>
  </si>
  <si>
    <t>000004875 от 31.12.2016 г.</t>
  </si>
  <si>
    <t>000004874 от 31.12.2016 г.</t>
  </si>
  <si>
    <t>000004869 от 31.12.2016 г.</t>
  </si>
  <si>
    <t>000004878 от 31.12.2016 г.</t>
  </si>
  <si>
    <t>000004864 от 31.12.2016 г.</t>
  </si>
  <si>
    <t>000004872 от 31.12.2016 г.</t>
  </si>
  <si>
    <t>000004865 от 31.12.2016 г.</t>
  </si>
  <si>
    <t>000004866 от 31.12.2016 г.</t>
  </si>
  <si>
    <t>000004871 от 31.12.2016 г.</t>
  </si>
  <si>
    <t>000004863 от 31.12.2016 г.</t>
  </si>
  <si>
    <t>000004861 от 31.12.2016 г./000004862 от 31.12.2016 г.</t>
  </si>
  <si>
    <t>000004905/000004906/000004907/000004908/000004909/000004910/000004911//000004912 от 31.12.2016 г.</t>
  </si>
  <si>
    <t>000004858/4859/4860/4857/4856/4855 от 31.12.2016 г.</t>
  </si>
  <si>
    <t>000004853/4854 от 31.12.2016 г.</t>
  </si>
  <si>
    <t>000004898/4897/4896/4895/4894/4893/4891/4890/4889/4888/4887/4868 от 31.12.2016 г.</t>
  </si>
  <si>
    <t>000004886/4885/4884/4883/4881/4867 от 31.12.2016 г.</t>
  </si>
  <si>
    <t>000004873/4899/4900 от 31.12.2016 г.</t>
  </si>
  <si>
    <t>000003583 от 31.12.2016 г.</t>
  </si>
  <si>
    <t>000003620 от 31.12.2016 г.</t>
  </si>
  <si>
    <t>000003621 от 31.12.2016 г.</t>
  </si>
  <si>
    <t>000003622 от 31.12.2016 г.</t>
  </si>
  <si>
    <t>000003629 от 31.12.2016 г.</t>
  </si>
  <si>
    <t>000003647 от 31.12.2016 г.</t>
  </si>
  <si>
    <t>000003623 от 31.12.2016 г.</t>
  </si>
  <si>
    <t>000003635 от 31.12.2016 г.</t>
  </si>
  <si>
    <t>000003636 от 31.12.2016 г.</t>
  </si>
  <si>
    <t>000003649 от 31.12.2016 г.</t>
  </si>
  <si>
    <t>000003597 от 31.12.2016 г.</t>
  </si>
  <si>
    <t>000003648 от 31.12.2016 г.</t>
  </si>
  <si>
    <t>000003651 от 31.12.2016 г.</t>
  </si>
  <si>
    <t>000004852 от 31.12.2016 г.</t>
  </si>
  <si>
    <t>ГЭС00000035 от 31.12.2015 г.</t>
  </si>
  <si>
    <t>ГЭС00000029 от 01.11.2015 г.</t>
  </si>
  <si>
    <t>ГЭС00000023 от 31.12.2015 г.</t>
  </si>
  <si>
    <t>ГЭС00000006 от 30.04.2015 г.</t>
  </si>
  <si>
    <t>ГЭС00000022 от 01.11.2015 г.</t>
  </si>
  <si>
    <t>ГЭС00000036 от 31.12.2015 г.</t>
  </si>
  <si>
    <t>ГЭС00000042 от 01.08.2014 г.</t>
  </si>
  <si>
    <t xml:space="preserve">ГЭС00000074 от 31.12.2016 г. </t>
  </si>
  <si>
    <t xml:space="preserve">ГЭС00000083 от 31.12.2016 г. </t>
  </si>
  <si>
    <t xml:space="preserve">ГЭС00000080 от 31.12.2016 г. </t>
  </si>
  <si>
    <t xml:space="preserve">ГЭС00000079 от 31.12.2016 г. </t>
  </si>
  <si>
    <t xml:space="preserve">ГЭС00000085 от 31.12.2016 г. </t>
  </si>
  <si>
    <t xml:space="preserve">ГЭС00000081 от 31.12.2016 г. </t>
  </si>
  <si>
    <t xml:space="preserve">ГЭС00000076 от 31.12.2016 г. </t>
  </si>
  <si>
    <t xml:space="preserve">ГЭС00000072 от 31.12.2016 г. </t>
  </si>
  <si>
    <t xml:space="preserve">ГЭС00000077 от 31.12.2016 г. </t>
  </si>
  <si>
    <t xml:space="preserve">ГЭС00000084 от 31.12.2016 г. </t>
  </si>
  <si>
    <t xml:space="preserve">ГЭС00000075 от 31.12.2016 г. </t>
  </si>
  <si>
    <t>ГЭС00000070 от 31.12.2016 г.</t>
  </si>
  <si>
    <t>ГЭС0000092 от 31.12.2016 г.</t>
  </si>
  <si>
    <t>ГЭС0000088 от 31.12.2016 г.</t>
  </si>
  <si>
    <t>ГЭС0000089 от 31.12.2016 г.</t>
  </si>
  <si>
    <t>ГЭС0000090 от 31.12.2016 г.</t>
  </si>
  <si>
    <t>ГЭС0000091 от 31.12.2016 г.</t>
  </si>
  <si>
    <t>ГЭС0000087 от 31.12.2016 г.</t>
  </si>
  <si>
    <t>ГЭС0000082 от 31.12.2016 г.</t>
  </si>
  <si>
    <t>ГЭС0000078 от 31.12.2016 г.</t>
  </si>
  <si>
    <t>ГЭС0000093 от 31.12.2016 г.</t>
  </si>
  <si>
    <t>ГЭС0000094 от 31.12.2016 г.</t>
  </si>
  <si>
    <t>ГЭС0000095 от 31.12.2016 г.</t>
  </si>
  <si>
    <t>ГЭС0000096 от 31.12.2016 г.</t>
  </si>
  <si>
    <t>ГЭС0000097 от 31.12.2016 г.</t>
  </si>
  <si>
    <t>ГЭС0000098 от 31.12.2016 г.</t>
  </si>
  <si>
    <t>ГЭС0000099 от 31.12.2016 г.</t>
  </si>
  <si>
    <t>ГЭС0000102 от 31.12.2016 г.</t>
  </si>
  <si>
    <t>ГЭС0000103 от 31.12.2016 г.</t>
  </si>
  <si>
    <t>ГЭС0000104 от 31.12.2016 г.</t>
  </si>
  <si>
    <t>ГЭС0000105 от 31.12.2016 г.</t>
  </si>
  <si>
    <t>ГЭС0000100 от 31.12.2016 г.</t>
  </si>
  <si>
    <t>ГЭС0000101 от 31.12.2016 г.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</si>
</sst>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0_р_._-;\-* #,##0.0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2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2"/>
  <sheetViews>
    <sheetView tabSelected="1" workbookViewId="0">
      <pane ySplit="3" topLeftCell="A105" activePane="bottomLeft" state="frozen"/>
      <selection activeCell="A3" sqref="A3"/>
      <selection pane="bottomLeft" activeCell="Q106" sqref="Q106"/>
    </sheetView>
  </sheetViews>
  <sheetFormatPr defaultRowHeight="15"/>
  <cols>
    <col min="1" max="1" width="5.28515625" customWidth="1"/>
    <col min="2" max="2" width="14.5703125" customWidth="1"/>
    <col min="3" max="3" width="8.85546875" customWidth="1"/>
    <col min="4" max="4" width="7.7109375" customWidth="1"/>
    <col min="5" max="5" width="8.42578125" customWidth="1"/>
    <col min="6" max="6" width="8.28515625" customWidth="1"/>
    <col min="7" max="7" width="9" customWidth="1"/>
    <col min="8" max="8" width="7.7109375" customWidth="1"/>
    <col min="9" max="9" width="7.85546875" customWidth="1"/>
    <col min="10" max="10" width="10" customWidth="1"/>
    <col min="11" max="11" width="9.5703125" customWidth="1"/>
    <col min="12" max="12" width="13.85546875" customWidth="1"/>
    <col min="13" max="13" width="8.85546875" customWidth="1"/>
    <col min="14" max="14" width="8.42578125" customWidth="1"/>
    <col min="15" max="15" width="7.140625" customWidth="1"/>
  </cols>
  <sheetData>
    <row r="1" spans="1:17" ht="41.25" customHeight="1">
      <c r="B1" s="37" t="s">
        <v>330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ht="15.75" customHeight="1"/>
    <row r="3" spans="1:17" ht="120" customHeight="1">
      <c r="A3" s="54" t="s">
        <v>23</v>
      </c>
      <c r="B3" s="53" t="s">
        <v>0</v>
      </c>
      <c r="C3" s="53" t="s">
        <v>1</v>
      </c>
      <c r="D3" s="53" t="s">
        <v>167</v>
      </c>
      <c r="E3" s="54" t="s">
        <v>322</v>
      </c>
      <c r="F3" s="54" t="s">
        <v>323</v>
      </c>
      <c r="G3" s="53" t="s">
        <v>2</v>
      </c>
      <c r="H3" s="53"/>
      <c r="I3" s="53"/>
      <c r="J3" s="53" t="s">
        <v>289</v>
      </c>
      <c r="K3" s="53"/>
      <c r="L3" s="53" t="s">
        <v>7</v>
      </c>
      <c r="M3" s="53"/>
      <c r="N3" s="53" t="s">
        <v>8</v>
      </c>
      <c r="O3" s="53"/>
      <c r="P3" s="1"/>
      <c r="Q3" s="1"/>
    </row>
    <row r="4" spans="1:17" ht="27" customHeight="1">
      <c r="A4" s="55"/>
      <c r="B4" s="53"/>
      <c r="C4" s="53"/>
      <c r="D4" s="53"/>
      <c r="E4" s="55"/>
      <c r="F4" s="55"/>
      <c r="G4" s="53" t="s">
        <v>3</v>
      </c>
      <c r="H4" s="53" t="s">
        <v>4</v>
      </c>
      <c r="I4" s="53"/>
      <c r="J4" s="53" t="s">
        <v>3</v>
      </c>
      <c r="K4" s="53" t="s">
        <v>6</v>
      </c>
      <c r="L4" s="53" t="s">
        <v>3</v>
      </c>
      <c r="M4" s="53" t="s">
        <v>6</v>
      </c>
      <c r="N4" s="53" t="s">
        <v>3</v>
      </c>
      <c r="O4" s="53" t="s">
        <v>6</v>
      </c>
      <c r="P4" s="1"/>
      <c r="Q4" s="1"/>
    </row>
    <row r="5" spans="1:17" ht="46.5" customHeight="1">
      <c r="A5" s="56"/>
      <c r="B5" s="53"/>
      <c r="C5" s="53"/>
      <c r="D5" s="53"/>
      <c r="E5" s="56"/>
      <c r="F5" s="56"/>
      <c r="G5" s="53"/>
      <c r="H5" s="21" t="s">
        <v>5</v>
      </c>
      <c r="I5" s="22" t="s">
        <v>22</v>
      </c>
      <c r="J5" s="53"/>
      <c r="K5" s="53"/>
      <c r="L5" s="53"/>
      <c r="M5" s="53"/>
      <c r="N5" s="53"/>
      <c r="O5" s="53"/>
      <c r="P5" s="1"/>
      <c r="Q5" s="1"/>
    </row>
    <row r="6" spans="1:17" ht="15" customHeight="1">
      <c r="A6" s="2">
        <v>1</v>
      </c>
      <c r="B6" s="62" t="s">
        <v>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  <c r="P6" s="1"/>
      <c r="Q6" s="1"/>
    </row>
    <row r="7" spans="1:17" ht="17.25" customHeight="1">
      <c r="A7" s="4" t="s">
        <v>10</v>
      </c>
      <c r="B7" s="59" t="s">
        <v>11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</row>
    <row r="8" spans="1:17" ht="89.25" customHeight="1">
      <c r="A8" s="5" t="s">
        <v>12</v>
      </c>
      <c r="B8" s="3" t="s">
        <v>13</v>
      </c>
      <c r="C8" s="33" t="s">
        <v>159</v>
      </c>
      <c r="D8" s="11">
        <f>8838281/1000</f>
        <v>8838.2810000000009</v>
      </c>
      <c r="E8" s="11">
        <f>8838281/1000</f>
        <v>8838.2810000000009</v>
      </c>
      <c r="F8" s="11">
        <f>E8/1.18</f>
        <v>7490.0686440677973</v>
      </c>
      <c r="G8" s="13" t="s">
        <v>163</v>
      </c>
      <c r="H8" s="19">
        <f>7490023/1000</f>
        <v>7490.0230000000001</v>
      </c>
      <c r="I8" s="19">
        <f>4494952/1000</f>
        <v>4494.9520000000002</v>
      </c>
      <c r="J8" s="15" t="s">
        <v>292</v>
      </c>
      <c r="K8" s="19">
        <f>7.539454*1000</f>
        <v>7539.4539999999997</v>
      </c>
      <c r="L8" s="15" t="s">
        <v>331</v>
      </c>
      <c r="M8" s="19">
        <f>7.539454*1000</f>
        <v>7539.4539999999997</v>
      </c>
      <c r="N8" s="15" t="s">
        <v>168</v>
      </c>
      <c r="O8" s="19">
        <f>0.214452*1000</f>
        <v>214.452</v>
      </c>
    </row>
    <row r="9" spans="1:17" ht="75" customHeight="1">
      <c r="A9" s="6" t="s">
        <v>14</v>
      </c>
      <c r="B9" s="3" t="s">
        <v>15</v>
      </c>
      <c r="C9" s="33" t="s">
        <v>159</v>
      </c>
      <c r="D9" s="12">
        <f>1462228/1000</f>
        <v>1462.2280000000001</v>
      </c>
      <c r="E9" s="12">
        <f>1462228/1000</f>
        <v>1462.2280000000001</v>
      </c>
      <c r="F9" s="11">
        <f t="shared" ref="F9:F12" si="0">E9/1.18</f>
        <v>1239.1762711864408</v>
      </c>
      <c r="G9" s="13" t="s">
        <v>158</v>
      </c>
      <c r="H9" s="19" t="s">
        <v>158</v>
      </c>
      <c r="I9" s="19" t="s">
        <v>158</v>
      </c>
      <c r="J9" s="15" t="s">
        <v>158</v>
      </c>
      <c r="K9" s="19" t="s">
        <v>158</v>
      </c>
      <c r="L9" s="15" t="s">
        <v>158</v>
      </c>
      <c r="M9" s="19" t="s">
        <v>158</v>
      </c>
      <c r="N9" s="15" t="s">
        <v>195</v>
      </c>
      <c r="O9" s="19">
        <f>0.04968*1000</f>
        <v>49.68</v>
      </c>
    </row>
    <row r="10" spans="1:17" ht="71.25" customHeight="1">
      <c r="A10" s="5" t="s">
        <v>16</v>
      </c>
      <c r="B10" s="3" t="s">
        <v>17</v>
      </c>
      <c r="C10" s="33" t="s">
        <v>159</v>
      </c>
      <c r="D10" s="11">
        <f>11631115/1000</f>
        <v>11631.115</v>
      </c>
      <c r="E10" s="11">
        <f>10368000/1000</f>
        <v>10368</v>
      </c>
      <c r="F10" s="11">
        <f t="shared" si="0"/>
        <v>8786.4406779661022</v>
      </c>
      <c r="G10" s="13" t="s">
        <v>164</v>
      </c>
      <c r="H10" s="19">
        <f>(4672361+2357034+610163)/1000</f>
        <v>7639.558</v>
      </c>
      <c r="I10" s="19">
        <f>(2758352+1245641+109829)/1000</f>
        <v>4113.8220000000001</v>
      </c>
      <c r="J10" s="15" t="s">
        <v>293</v>
      </c>
      <c r="K10" s="19">
        <f>8.658943*1000</f>
        <v>8658.9430000000011</v>
      </c>
      <c r="L10" s="15" t="s">
        <v>332</v>
      </c>
      <c r="M10" s="19">
        <f>8.658943*1000</f>
        <v>8658.9430000000011</v>
      </c>
      <c r="N10" s="15" t="s">
        <v>169</v>
      </c>
      <c r="O10" s="19">
        <f>0.2691*1000</f>
        <v>269.10000000000002</v>
      </c>
    </row>
    <row r="11" spans="1:17" ht="75" customHeight="1">
      <c r="A11" s="6" t="s">
        <v>18</v>
      </c>
      <c r="B11" s="3" t="s">
        <v>19</v>
      </c>
      <c r="C11" s="33" t="s">
        <v>159</v>
      </c>
      <c r="D11" s="12">
        <f>2357881/1000</f>
        <v>2357.8809999999999</v>
      </c>
      <c r="E11" s="12">
        <f>2357881/1000</f>
        <v>2357.8809999999999</v>
      </c>
      <c r="F11" s="11">
        <f t="shared" si="0"/>
        <v>1998.2042372881356</v>
      </c>
      <c r="G11" s="14" t="s">
        <v>165</v>
      </c>
      <c r="H11" s="19">
        <f>1998205/1000</f>
        <v>1998.2049999999999</v>
      </c>
      <c r="I11" s="19">
        <f>1366039/1000</f>
        <v>1366.039</v>
      </c>
      <c r="J11" s="15" t="s">
        <v>294</v>
      </c>
      <c r="K11" s="19">
        <f>2.18631*1000</f>
        <v>2186.3100000000004</v>
      </c>
      <c r="L11" s="15" t="s">
        <v>333</v>
      </c>
      <c r="M11" s="19">
        <f>2.18631*1000</f>
        <v>2186.3100000000004</v>
      </c>
      <c r="N11" s="15" t="s">
        <v>171</v>
      </c>
      <c r="O11" s="19">
        <f>0.07866*1000</f>
        <v>78.66</v>
      </c>
    </row>
    <row r="12" spans="1:17" ht="72" customHeight="1">
      <c r="A12" s="5" t="s">
        <v>20</v>
      </c>
      <c r="B12" s="3" t="s">
        <v>21</v>
      </c>
      <c r="C12" s="33" t="s">
        <v>159</v>
      </c>
      <c r="D12" s="12">
        <v>0</v>
      </c>
      <c r="E12" s="12">
        <v>0</v>
      </c>
      <c r="F12" s="11">
        <f t="shared" si="0"/>
        <v>0</v>
      </c>
      <c r="G12" s="14" t="s">
        <v>166</v>
      </c>
      <c r="H12" s="19">
        <f>1245229/1000</f>
        <v>1245.229</v>
      </c>
      <c r="I12" s="19">
        <v>808</v>
      </c>
      <c r="J12" s="15" t="s">
        <v>295</v>
      </c>
      <c r="K12" s="19">
        <f>1.245229*1000</f>
        <v>1245.2289999999998</v>
      </c>
      <c r="L12" s="15" t="s">
        <v>334</v>
      </c>
      <c r="M12" s="19">
        <f>1.245229*1000</f>
        <v>1245.2289999999998</v>
      </c>
      <c r="N12" s="15" t="s">
        <v>158</v>
      </c>
      <c r="O12" s="19" t="s">
        <v>158</v>
      </c>
    </row>
    <row r="13" spans="1:17">
      <c r="A13" s="46" t="s">
        <v>24</v>
      </c>
      <c r="B13" s="46"/>
      <c r="C13" s="22" t="s">
        <v>158</v>
      </c>
      <c r="D13" s="23">
        <f>D8+D9+D10+D11+D12</f>
        <v>24289.505000000005</v>
      </c>
      <c r="E13" s="23">
        <f>E8+E9+E10+E11+E12</f>
        <v>23026.390000000003</v>
      </c>
      <c r="F13" s="23">
        <f>F8+F9+F10+F11+F12</f>
        <v>19513.889830508477</v>
      </c>
      <c r="G13" s="30" t="s">
        <v>158</v>
      </c>
      <c r="H13" s="23">
        <f>H8+H10+H11+H12</f>
        <v>18373.014999999999</v>
      </c>
      <c r="I13" s="23">
        <f>I8+I10+I11+I12</f>
        <v>10782.813000000002</v>
      </c>
      <c r="J13" s="30" t="s">
        <v>158</v>
      </c>
      <c r="K13" s="23">
        <f>K8+K10+K11+K12</f>
        <v>19629.936000000002</v>
      </c>
      <c r="L13" s="23" t="s">
        <v>158</v>
      </c>
      <c r="M13" s="23">
        <f>M8+M10+M11+M12</f>
        <v>19629.936000000002</v>
      </c>
      <c r="N13" s="30" t="s">
        <v>158</v>
      </c>
      <c r="O13" s="23">
        <f>O8+O10+O11+O9</f>
        <v>611.89199999999994</v>
      </c>
    </row>
    <row r="14" spans="1:17" ht="17.25" customHeight="1">
      <c r="A14" s="7" t="s">
        <v>25</v>
      </c>
      <c r="B14" s="62" t="s">
        <v>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4"/>
    </row>
    <row r="15" spans="1:17" ht="71.25" customHeight="1">
      <c r="A15" s="5" t="s">
        <v>26</v>
      </c>
      <c r="B15" s="3" t="s">
        <v>27</v>
      </c>
      <c r="C15" s="33" t="s">
        <v>159</v>
      </c>
      <c r="D15" s="19">
        <f>9160911/1000</f>
        <v>9160.9110000000001</v>
      </c>
      <c r="E15" s="19">
        <f>10511999/1000</f>
        <v>10511.999</v>
      </c>
      <c r="F15" s="19">
        <f>E15/1.18</f>
        <v>8908.4737288135602</v>
      </c>
      <c r="G15" s="13" t="s">
        <v>172</v>
      </c>
      <c r="H15" s="19">
        <f>8908</f>
        <v>8908</v>
      </c>
      <c r="I15" s="19">
        <f>7967023/1000</f>
        <v>7967.0230000000001</v>
      </c>
      <c r="J15" s="15" t="s">
        <v>296</v>
      </c>
      <c r="K15" s="19">
        <f>8.908473*1000</f>
        <v>8908.473</v>
      </c>
      <c r="L15" s="15" t="s">
        <v>335</v>
      </c>
      <c r="M15" s="19">
        <f>8.908473*1000</f>
        <v>8908.473</v>
      </c>
      <c r="N15" s="17" t="s">
        <v>195</v>
      </c>
      <c r="O15" s="19">
        <f>37</f>
        <v>37</v>
      </c>
    </row>
    <row r="16" spans="1:17" ht="104.25" customHeight="1">
      <c r="A16" s="5" t="s">
        <v>28</v>
      </c>
      <c r="B16" s="3" t="s">
        <v>29</v>
      </c>
      <c r="C16" s="33" t="s">
        <v>159</v>
      </c>
      <c r="D16" s="11">
        <f>0.451307*1000</f>
        <v>451.30700000000002</v>
      </c>
      <c r="E16" s="11">
        <f>0.451307*1000</f>
        <v>451.30700000000002</v>
      </c>
      <c r="F16" s="19">
        <f t="shared" ref="F16:F37" si="1">E16/1.18</f>
        <v>382.46355932203392</v>
      </c>
      <c r="G16" s="13" t="s">
        <v>173</v>
      </c>
      <c r="H16" s="19">
        <f>D16/1.18</f>
        <v>382.46355932203392</v>
      </c>
      <c r="I16" s="19">
        <f>0.240717*1000</f>
        <v>240.71699999999998</v>
      </c>
      <c r="J16" s="15" t="s">
        <v>297</v>
      </c>
      <c r="K16" s="19">
        <f>0.382464*1000</f>
        <v>382.464</v>
      </c>
      <c r="L16" s="15" t="s">
        <v>336</v>
      </c>
      <c r="M16" s="19">
        <f>0.382464*1000</f>
        <v>382.464</v>
      </c>
      <c r="N16" s="17" t="s">
        <v>196</v>
      </c>
      <c r="O16" s="19">
        <f t="shared" ref="O16:O34" si="2">0.046901*1000</f>
        <v>46.900999999999996</v>
      </c>
    </row>
    <row r="17" spans="1:15" ht="111.75" customHeight="1">
      <c r="A17" s="5" t="s">
        <v>30</v>
      </c>
      <c r="B17" s="3" t="s">
        <v>31</v>
      </c>
      <c r="C17" s="33" t="s">
        <v>159</v>
      </c>
      <c r="D17" s="11">
        <f>0.436867*1000</f>
        <v>436.86700000000002</v>
      </c>
      <c r="E17" s="11">
        <f>0.436867*1000</f>
        <v>436.86700000000002</v>
      </c>
      <c r="F17" s="19">
        <f t="shared" si="1"/>
        <v>370.22627118644073</v>
      </c>
      <c r="G17" s="13" t="s">
        <v>174</v>
      </c>
      <c r="H17" s="19">
        <f t="shared" ref="H17:H37" si="3">D17/1.18</f>
        <v>370.22627118644073</v>
      </c>
      <c r="I17" s="19">
        <f>0.240102*1000</f>
        <v>240.102</v>
      </c>
      <c r="J17" s="15" t="s">
        <v>298</v>
      </c>
      <c r="K17" s="19">
        <f>0.370226*1000</f>
        <v>370.226</v>
      </c>
      <c r="L17" s="15" t="s">
        <v>337</v>
      </c>
      <c r="M17" s="19">
        <f>0.370226*1000</f>
        <v>370.226</v>
      </c>
      <c r="N17" s="17" t="s">
        <v>197</v>
      </c>
      <c r="O17" s="19">
        <f t="shared" si="2"/>
        <v>46.900999999999996</v>
      </c>
    </row>
    <row r="18" spans="1:15" ht="102.75" customHeight="1">
      <c r="A18" s="5" t="s">
        <v>32</v>
      </c>
      <c r="B18" s="3" t="s">
        <v>33</v>
      </c>
      <c r="C18" s="33" t="s">
        <v>159</v>
      </c>
      <c r="D18" s="11">
        <f>0.433871*1000</f>
        <v>433.87099999999998</v>
      </c>
      <c r="E18" s="11">
        <f>0.433871*1000</f>
        <v>433.87099999999998</v>
      </c>
      <c r="F18" s="19">
        <f t="shared" si="1"/>
        <v>367.68728813559323</v>
      </c>
      <c r="G18" s="13" t="s">
        <v>175</v>
      </c>
      <c r="H18" s="19">
        <f t="shared" si="3"/>
        <v>367.68728813559323</v>
      </c>
      <c r="I18" s="19">
        <f>0.233873*1000</f>
        <v>233.87299999999999</v>
      </c>
      <c r="J18" s="15" t="s">
        <v>299</v>
      </c>
      <c r="K18" s="19">
        <f>0.367687*1000</f>
        <v>367.68700000000001</v>
      </c>
      <c r="L18" s="15" t="s">
        <v>338</v>
      </c>
      <c r="M18" s="19">
        <f>0.367687*1000</f>
        <v>367.68700000000001</v>
      </c>
      <c r="N18" s="17" t="s">
        <v>198</v>
      </c>
      <c r="O18" s="19">
        <f t="shared" si="2"/>
        <v>46.900999999999996</v>
      </c>
    </row>
    <row r="19" spans="1:15" ht="102.75" customHeight="1">
      <c r="A19" s="5" t="s">
        <v>34</v>
      </c>
      <c r="B19" s="3" t="s">
        <v>35</v>
      </c>
      <c r="C19" s="33" t="s">
        <v>159</v>
      </c>
      <c r="D19" s="18">
        <f>0.496589*1000</f>
        <v>496.589</v>
      </c>
      <c r="E19" s="18">
        <f>0.496589*1000</f>
        <v>496.589</v>
      </c>
      <c r="F19" s="19">
        <f t="shared" si="1"/>
        <v>420.83813559322039</v>
      </c>
      <c r="G19" s="16" t="s">
        <v>176</v>
      </c>
      <c r="H19" s="19">
        <f t="shared" si="3"/>
        <v>420.83813559322039</v>
      </c>
      <c r="I19" s="19">
        <f>0.238456*1000</f>
        <v>238.45599999999999</v>
      </c>
      <c r="J19" s="15" t="s">
        <v>300</v>
      </c>
      <c r="K19" s="19">
        <f>0.420838*1000</f>
        <v>420.83799999999997</v>
      </c>
      <c r="L19" s="15" t="s">
        <v>339</v>
      </c>
      <c r="M19" s="19">
        <f>0.420838*1000</f>
        <v>420.83799999999997</v>
      </c>
      <c r="N19" s="17" t="s">
        <v>199</v>
      </c>
      <c r="O19" s="19">
        <f t="shared" si="2"/>
        <v>46.900999999999996</v>
      </c>
    </row>
    <row r="20" spans="1:15" ht="113.25" customHeight="1">
      <c r="A20" s="5" t="s">
        <v>36</v>
      </c>
      <c r="B20" s="3" t="s">
        <v>37</v>
      </c>
      <c r="C20" s="33" t="s">
        <v>159</v>
      </c>
      <c r="D20" s="11">
        <f>0.893575*1000</f>
        <v>893.57500000000005</v>
      </c>
      <c r="E20" s="11">
        <f>0.893575*1000</f>
        <v>893.57500000000005</v>
      </c>
      <c r="F20" s="19">
        <f t="shared" si="1"/>
        <v>757.26694915254245</v>
      </c>
      <c r="G20" s="13" t="s">
        <v>177</v>
      </c>
      <c r="H20" s="19">
        <f t="shared" si="3"/>
        <v>757.26694915254245</v>
      </c>
      <c r="I20" s="19">
        <f>0.210656*1000</f>
        <v>210.65600000000001</v>
      </c>
      <c r="J20" s="15" t="s">
        <v>301</v>
      </c>
      <c r="K20" s="19">
        <f>0.757266*1000</f>
        <v>757.26599999999996</v>
      </c>
      <c r="L20" s="15" t="s">
        <v>340</v>
      </c>
      <c r="M20" s="19">
        <f>0.757266*1000</f>
        <v>757.26599999999996</v>
      </c>
      <c r="N20" s="17" t="s">
        <v>200</v>
      </c>
      <c r="O20" s="19">
        <f t="shared" si="2"/>
        <v>46.900999999999996</v>
      </c>
    </row>
    <row r="21" spans="1:15" ht="110.25" customHeight="1">
      <c r="A21" s="5" t="s">
        <v>38</v>
      </c>
      <c r="B21" s="3" t="s">
        <v>39</v>
      </c>
      <c r="C21" s="33" t="s">
        <v>159</v>
      </c>
      <c r="D21" s="11">
        <f>0.891168*1000</f>
        <v>891.16800000000001</v>
      </c>
      <c r="E21" s="11">
        <f>0.891168*1000</f>
        <v>891.16800000000001</v>
      </c>
      <c r="F21" s="19">
        <f t="shared" si="1"/>
        <v>755.22711864406779</v>
      </c>
      <c r="G21" s="13" t="s">
        <v>178</v>
      </c>
      <c r="H21" s="19">
        <f t="shared" si="3"/>
        <v>755.22711864406779</v>
      </c>
      <c r="I21" s="19">
        <f>0.505963*1000</f>
        <v>505.96300000000008</v>
      </c>
      <c r="J21" s="15" t="s">
        <v>302</v>
      </c>
      <c r="K21" s="19">
        <f>0.755227*1000</f>
        <v>755.22699999999998</v>
      </c>
      <c r="L21" s="15" t="s">
        <v>341</v>
      </c>
      <c r="M21" s="19">
        <f>0.755227*1000</f>
        <v>755.22699999999998</v>
      </c>
      <c r="N21" s="17" t="s">
        <v>201</v>
      </c>
      <c r="O21" s="19">
        <f t="shared" si="2"/>
        <v>46.900999999999996</v>
      </c>
    </row>
    <row r="22" spans="1:15" ht="102.75" customHeight="1">
      <c r="A22" s="5" t="s">
        <v>40</v>
      </c>
      <c r="B22" s="3" t="s">
        <v>41</v>
      </c>
      <c r="C22" s="33" t="s">
        <v>159</v>
      </c>
      <c r="D22" s="11">
        <f>1000*0.380813</f>
        <v>380.81299999999999</v>
      </c>
      <c r="E22" s="11">
        <f>1000*0.380813</f>
        <v>380.81299999999999</v>
      </c>
      <c r="F22" s="19">
        <f t="shared" si="1"/>
        <v>322.7228813559322</v>
      </c>
      <c r="G22" s="13" t="s">
        <v>179</v>
      </c>
      <c r="H22" s="19">
        <f t="shared" si="3"/>
        <v>322.7228813559322</v>
      </c>
      <c r="I22" s="19">
        <f>0.21024*1000</f>
        <v>210.24</v>
      </c>
      <c r="J22" s="15" t="s">
        <v>303</v>
      </c>
      <c r="K22" s="19">
        <f>0.322723*1000</f>
        <v>322.72299999999996</v>
      </c>
      <c r="L22" s="15" t="s">
        <v>342</v>
      </c>
      <c r="M22" s="19">
        <f>0.322723*1000</f>
        <v>322.72299999999996</v>
      </c>
      <c r="N22" s="17" t="s">
        <v>202</v>
      </c>
      <c r="O22" s="19">
        <f t="shared" si="2"/>
        <v>46.900999999999996</v>
      </c>
    </row>
    <row r="23" spans="1:15" ht="103.5" customHeight="1">
      <c r="A23" s="5" t="s">
        <v>42</v>
      </c>
      <c r="B23" s="3" t="s">
        <v>43</v>
      </c>
      <c r="C23" s="33" t="s">
        <v>159</v>
      </c>
      <c r="D23" s="11">
        <f>1000*0.372155</f>
        <v>372.15500000000003</v>
      </c>
      <c r="E23" s="11">
        <f>1000*0.372155</f>
        <v>372.15500000000003</v>
      </c>
      <c r="F23" s="19">
        <f t="shared" si="1"/>
        <v>315.38559322033905</v>
      </c>
      <c r="G23" s="13" t="s">
        <v>180</v>
      </c>
      <c r="H23" s="19">
        <f t="shared" si="3"/>
        <v>315.38559322033905</v>
      </c>
      <c r="I23" s="19">
        <f>0.206916*1000</f>
        <v>206.916</v>
      </c>
      <c r="J23" s="15" t="s">
        <v>304</v>
      </c>
      <c r="K23" s="19">
        <f>0.315386*1000</f>
        <v>315.38600000000002</v>
      </c>
      <c r="L23" s="15" t="s">
        <v>343</v>
      </c>
      <c r="M23" s="19">
        <f>0.315386*1000</f>
        <v>315.38600000000002</v>
      </c>
      <c r="N23" s="17" t="s">
        <v>203</v>
      </c>
      <c r="O23" s="19">
        <f t="shared" si="2"/>
        <v>46.900999999999996</v>
      </c>
    </row>
    <row r="24" spans="1:15" ht="105" customHeight="1">
      <c r="A24" s="5" t="s">
        <v>44</v>
      </c>
      <c r="B24" s="3" t="s">
        <v>45</v>
      </c>
      <c r="C24" s="33" t="s">
        <v>159</v>
      </c>
      <c r="D24" s="12">
        <f>1000*0.372</f>
        <v>372</v>
      </c>
      <c r="E24" s="12">
        <f>1000*0.372</f>
        <v>372</v>
      </c>
      <c r="F24" s="19">
        <f t="shared" si="1"/>
        <v>315.25423728813558</v>
      </c>
      <c r="G24" s="14" t="s">
        <v>181</v>
      </c>
      <c r="H24" s="19">
        <f t="shared" si="3"/>
        <v>315.25423728813558</v>
      </c>
      <c r="I24" s="19">
        <f>0.206916*1000</f>
        <v>206.916</v>
      </c>
      <c r="J24" s="15" t="s">
        <v>305</v>
      </c>
      <c r="K24" s="19">
        <f>0.315386*1000</f>
        <v>315.38600000000002</v>
      </c>
      <c r="L24" s="15" t="s">
        <v>344</v>
      </c>
      <c r="M24" s="19">
        <f>0.315386*1000</f>
        <v>315.38600000000002</v>
      </c>
      <c r="N24" s="17" t="s">
        <v>204</v>
      </c>
      <c r="O24" s="19">
        <f t="shared" si="2"/>
        <v>46.900999999999996</v>
      </c>
    </row>
    <row r="25" spans="1:15" ht="111" customHeight="1">
      <c r="A25" s="5" t="s">
        <v>46</v>
      </c>
      <c r="B25" s="3" t="s">
        <v>47</v>
      </c>
      <c r="C25" s="33" t="s">
        <v>159</v>
      </c>
      <c r="D25" s="11">
        <f>1000*0.505688</f>
        <v>505.68800000000005</v>
      </c>
      <c r="E25" s="11">
        <f>1000*0.505688</f>
        <v>505.68800000000005</v>
      </c>
      <c r="F25" s="19">
        <f t="shared" si="1"/>
        <v>428.54915254237295</v>
      </c>
      <c r="G25" s="13" t="s">
        <v>182</v>
      </c>
      <c r="H25" s="19">
        <f t="shared" si="3"/>
        <v>428.54915254237295</v>
      </c>
      <c r="I25" s="19">
        <f>0.317078*1000</f>
        <v>317.07800000000003</v>
      </c>
      <c r="J25" s="15" t="s">
        <v>306</v>
      </c>
      <c r="K25" s="19">
        <f>0.428549*1000</f>
        <v>428.54900000000004</v>
      </c>
      <c r="L25" s="15" t="s">
        <v>345</v>
      </c>
      <c r="M25" s="19">
        <f>0.428549*1000</f>
        <v>428.54900000000004</v>
      </c>
      <c r="N25" s="17" t="s">
        <v>205</v>
      </c>
      <c r="O25" s="19">
        <f t="shared" si="2"/>
        <v>46.900999999999996</v>
      </c>
    </row>
    <row r="26" spans="1:15" ht="109.5" customHeight="1">
      <c r="A26" s="5" t="s">
        <v>48</v>
      </c>
      <c r="B26" s="3" t="s">
        <v>49</v>
      </c>
      <c r="C26" s="33" t="s">
        <v>159</v>
      </c>
      <c r="D26" s="11">
        <f>1000*0.549873</f>
        <v>549.87299999999993</v>
      </c>
      <c r="E26" s="11">
        <f>1000*0.549873</f>
        <v>549.87299999999993</v>
      </c>
      <c r="F26" s="19">
        <f t="shared" si="1"/>
        <v>465.99406779661012</v>
      </c>
      <c r="G26" s="13" t="s">
        <v>183</v>
      </c>
      <c r="H26" s="19">
        <f t="shared" si="3"/>
        <v>465.99406779661012</v>
      </c>
      <c r="I26" s="19">
        <f>0.25273*1000</f>
        <v>252.73000000000002</v>
      </c>
      <c r="J26" s="15" t="s">
        <v>307</v>
      </c>
      <c r="K26" s="19">
        <f>0.465994*1000</f>
        <v>465.99400000000003</v>
      </c>
      <c r="L26" s="15" t="s">
        <v>346</v>
      </c>
      <c r="M26" s="19">
        <f>0.465994*1000</f>
        <v>465.99400000000003</v>
      </c>
      <c r="N26" s="17" t="s">
        <v>206</v>
      </c>
      <c r="O26" s="19">
        <f t="shared" si="2"/>
        <v>46.900999999999996</v>
      </c>
    </row>
    <row r="27" spans="1:15" ht="110.25" customHeight="1">
      <c r="A27" s="5" t="s">
        <v>50</v>
      </c>
      <c r="B27" s="3" t="s">
        <v>51</v>
      </c>
      <c r="C27" s="33" t="s">
        <v>159</v>
      </c>
      <c r="D27" s="11">
        <f t="shared" ref="D27:E29" si="4">0.524882*1000</f>
        <v>524.88199999999995</v>
      </c>
      <c r="E27" s="11">
        <f t="shared" si="4"/>
        <v>524.88199999999995</v>
      </c>
      <c r="F27" s="19">
        <f t="shared" si="1"/>
        <v>444.81525423728812</v>
      </c>
      <c r="G27" s="13" t="s">
        <v>184</v>
      </c>
      <c r="H27" s="19">
        <f t="shared" si="3"/>
        <v>444.81525423728812</v>
      </c>
      <c r="I27" s="19">
        <f>0.29487*1000</f>
        <v>294.87</v>
      </c>
      <c r="J27" s="15" t="s">
        <v>308</v>
      </c>
      <c r="K27" s="19">
        <f>0.444815*1000</f>
        <v>444.815</v>
      </c>
      <c r="L27" s="15" t="s">
        <v>347</v>
      </c>
      <c r="M27" s="19">
        <f>0.444815*1000</f>
        <v>444.815</v>
      </c>
      <c r="N27" s="17" t="s">
        <v>207</v>
      </c>
      <c r="O27" s="19">
        <f t="shared" si="2"/>
        <v>46.900999999999996</v>
      </c>
    </row>
    <row r="28" spans="1:15" ht="114.75" customHeight="1">
      <c r="A28" s="5" t="s">
        <v>52</v>
      </c>
      <c r="B28" s="3" t="s">
        <v>53</v>
      </c>
      <c r="C28" s="33" t="s">
        <v>159</v>
      </c>
      <c r="D28" s="11">
        <f t="shared" si="4"/>
        <v>524.88199999999995</v>
      </c>
      <c r="E28" s="11">
        <f t="shared" si="4"/>
        <v>524.88199999999995</v>
      </c>
      <c r="F28" s="19">
        <f t="shared" si="1"/>
        <v>444.81525423728812</v>
      </c>
      <c r="G28" s="13" t="s">
        <v>185</v>
      </c>
      <c r="H28" s="19">
        <f t="shared" si="3"/>
        <v>444.81525423728812</v>
      </c>
      <c r="I28" s="19">
        <f>0.29487*1000</f>
        <v>294.87</v>
      </c>
      <c r="J28" s="15" t="s">
        <v>309</v>
      </c>
      <c r="K28" s="19">
        <f>0.444815*1000</f>
        <v>444.815</v>
      </c>
      <c r="L28" s="15" t="s">
        <v>348</v>
      </c>
      <c r="M28" s="19">
        <f>0.444815*1000</f>
        <v>444.815</v>
      </c>
      <c r="N28" s="17" t="s">
        <v>208</v>
      </c>
      <c r="O28" s="19">
        <f t="shared" si="2"/>
        <v>46.900999999999996</v>
      </c>
    </row>
    <row r="29" spans="1:15" ht="109.5" customHeight="1">
      <c r="A29" s="5" t="s">
        <v>54</v>
      </c>
      <c r="B29" s="3" t="s">
        <v>55</v>
      </c>
      <c r="C29" s="33" t="s">
        <v>159</v>
      </c>
      <c r="D29" s="11">
        <f t="shared" si="4"/>
        <v>524.88199999999995</v>
      </c>
      <c r="E29" s="11">
        <f t="shared" si="4"/>
        <v>524.88199999999995</v>
      </c>
      <c r="F29" s="19">
        <f t="shared" si="1"/>
        <v>444.81525423728812</v>
      </c>
      <c r="G29" s="13" t="s">
        <v>186</v>
      </c>
      <c r="H29" s="19">
        <f t="shared" si="3"/>
        <v>444.81525423728812</v>
      </c>
      <c r="I29" s="19">
        <f>0.294793*1000</f>
        <v>294.79300000000001</v>
      </c>
      <c r="J29" s="15" t="s">
        <v>310</v>
      </c>
      <c r="K29" s="19">
        <f>0.444815*1000</f>
        <v>444.815</v>
      </c>
      <c r="L29" s="15" t="s">
        <v>349</v>
      </c>
      <c r="M29" s="19">
        <f>0.444815*1000</f>
        <v>444.815</v>
      </c>
      <c r="N29" s="17" t="s">
        <v>209</v>
      </c>
      <c r="O29" s="19">
        <f t="shared" si="2"/>
        <v>46.900999999999996</v>
      </c>
    </row>
    <row r="30" spans="1:15" ht="108.75" customHeight="1">
      <c r="A30" s="5" t="s">
        <v>56</v>
      </c>
      <c r="B30" s="3" t="s">
        <v>57</v>
      </c>
      <c r="C30" s="33" t="s">
        <v>159</v>
      </c>
      <c r="D30" s="11">
        <f>0.665*1000</f>
        <v>665</v>
      </c>
      <c r="E30" s="11">
        <f>0.665*1000</f>
        <v>665</v>
      </c>
      <c r="F30" s="19">
        <f t="shared" si="1"/>
        <v>563.5593220338983</v>
      </c>
      <c r="G30" s="13" t="s">
        <v>187</v>
      </c>
      <c r="H30" s="19">
        <f t="shared" si="3"/>
        <v>563.5593220338983</v>
      </c>
      <c r="I30" s="19">
        <f>0.409376*1000</f>
        <v>409.37600000000003</v>
      </c>
      <c r="J30" s="15" t="s">
        <v>311</v>
      </c>
      <c r="K30" s="19">
        <f>0.563471*1000</f>
        <v>563.471</v>
      </c>
      <c r="L30" s="15" t="s">
        <v>321</v>
      </c>
      <c r="M30" s="19">
        <f>0.563471*1000</f>
        <v>563.471</v>
      </c>
      <c r="N30" s="17" t="s">
        <v>210</v>
      </c>
      <c r="O30" s="19">
        <f t="shared" si="2"/>
        <v>46.900999999999996</v>
      </c>
    </row>
    <row r="31" spans="1:15" ht="111" customHeight="1">
      <c r="A31" s="5" t="s">
        <v>58</v>
      </c>
      <c r="B31" s="3" t="s">
        <v>59</v>
      </c>
      <c r="C31" s="33" t="s">
        <v>159</v>
      </c>
      <c r="D31" s="11">
        <f>0.524882*1000</f>
        <v>524.88199999999995</v>
      </c>
      <c r="E31" s="11">
        <f>0.524882*1000</f>
        <v>524.88199999999995</v>
      </c>
      <c r="F31" s="19">
        <f t="shared" si="1"/>
        <v>444.81525423728812</v>
      </c>
      <c r="G31" s="13" t="s">
        <v>188</v>
      </c>
      <c r="H31" s="19">
        <f t="shared" si="3"/>
        <v>444.81525423728812</v>
      </c>
      <c r="I31" s="19">
        <f>0.29487*1000</f>
        <v>294.87</v>
      </c>
      <c r="J31" s="15" t="s">
        <v>312</v>
      </c>
      <c r="K31" s="19">
        <f>0.444815*1000</f>
        <v>444.815</v>
      </c>
      <c r="L31" s="15" t="s">
        <v>350</v>
      </c>
      <c r="M31" s="19">
        <f>0.444815*1000</f>
        <v>444.815</v>
      </c>
      <c r="N31" s="17" t="s">
        <v>211</v>
      </c>
      <c r="O31" s="19">
        <f t="shared" si="2"/>
        <v>46.900999999999996</v>
      </c>
    </row>
    <row r="32" spans="1:15" ht="108.75" customHeight="1">
      <c r="A32" s="5" t="s">
        <v>60</v>
      </c>
      <c r="B32" s="3" t="s">
        <v>61</v>
      </c>
      <c r="C32" s="33" t="s">
        <v>159</v>
      </c>
      <c r="D32" s="11">
        <f>0.664896*1000</f>
        <v>664.89600000000007</v>
      </c>
      <c r="E32" s="11">
        <f>0.664896*1000</f>
        <v>664.89600000000007</v>
      </c>
      <c r="F32" s="19">
        <f t="shared" si="1"/>
        <v>563.47118644067803</v>
      </c>
      <c r="G32" s="13" t="s">
        <v>189</v>
      </c>
      <c r="H32" s="19">
        <f t="shared" si="3"/>
        <v>563.47118644067803</v>
      </c>
      <c r="I32" s="19">
        <f>0.409376*1000</f>
        <v>409.37600000000003</v>
      </c>
      <c r="J32" s="15" t="s">
        <v>313</v>
      </c>
      <c r="K32" s="19">
        <f>0.563471*1000</f>
        <v>563.471</v>
      </c>
      <c r="L32" s="15" t="s">
        <v>352</v>
      </c>
      <c r="M32" s="19">
        <f>0.563471*1000</f>
        <v>563.471</v>
      </c>
      <c r="N32" s="17" t="s">
        <v>212</v>
      </c>
      <c r="O32" s="19">
        <f t="shared" si="2"/>
        <v>46.900999999999996</v>
      </c>
    </row>
    <row r="33" spans="1:15" ht="150.75" customHeight="1">
      <c r="A33" s="5" t="s">
        <v>62</v>
      </c>
      <c r="B33" s="3" t="s">
        <v>63</v>
      </c>
      <c r="C33" s="33" t="s">
        <v>159</v>
      </c>
      <c r="D33" s="11">
        <f>0.802615*1000</f>
        <v>802.61500000000001</v>
      </c>
      <c r="E33" s="11">
        <f>0.802615*1000</f>
        <v>802.61500000000001</v>
      </c>
      <c r="F33" s="19">
        <f t="shared" si="1"/>
        <v>680.18220338983053</v>
      </c>
      <c r="G33" s="13" t="s">
        <v>190</v>
      </c>
      <c r="H33" s="19">
        <f t="shared" si="3"/>
        <v>680.18220338983053</v>
      </c>
      <c r="I33" s="19">
        <f>0.47472*1000</f>
        <v>474.71999999999997</v>
      </c>
      <c r="J33" s="15" t="s">
        <v>314</v>
      </c>
      <c r="K33" s="19">
        <f>0.680182*1000</f>
        <v>680.1819999999999</v>
      </c>
      <c r="L33" s="15" t="s">
        <v>351</v>
      </c>
      <c r="M33" s="19">
        <f>0.680182*1000</f>
        <v>680.1819999999999</v>
      </c>
      <c r="N33" s="17" t="s">
        <v>213</v>
      </c>
      <c r="O33" s="19">
        <f t="shared" si="2"/>
        <v>46.900999999999996</v>
      </c>
    </row>
    <row r="34" spans="1:15" ht="150" customHeight="1">
      <c r="A34" s="5" t="s">
        <v>64</v>
      </c>
      <c r="B34" s="3" t="s">
        <v>65</v>
      </c>
      <c r="C34" s="33" t="s">
        <v>159</v>
      </c>
      <c r="D34" s="11">
        <f>1248</f>
        <v>1248</v>
      </c>
      <c r="E34" s="11">
        <f>1134843/1000</f>
        <v>1134.8430000000001</v>
      </c>
      <c r="F34" s="19">
        <f t="shared" si="1"/>
        <v>961.73135593220354</v>
      </c>
      <c r="G34" s="13" t="s">
        <v>191</v>
      </c>
      <c r="H34" s="19">
        <f>962</f>
        <v>962</v>
      </c>
      <c r="I34" s="19">
        <f>0.845777*1000</f>
        <v>845.77700000000004</v>
      </c>
      <c r="J34" s="15" t="s">
        <v>315</v>
      </c>
      <c r="K34" s="19">
        <f>0.961732*1000</f>
        <v>961.73200000000008</v>
      </c>
      <c r="L34" s="15" t="s">
        <v>353</v>
      </c>
      <c r="M34" s="19">
        <f>0.961732*1000</f>
        <v>961.73200000000008</v>
      </c>
      <c r="N34" s="17" t="s">
        <v>214</v>
      </c>
      <c r="O34" s="19">
        <f t="shared" si="2"/>
        <v>46.900999999999996</v>
      </c>
    </row>
    <row r="35" spans="1:15" ht="101.25" customHeight="1">
      <c r="A35" s="5" t="s">
        <v>66</v>
      </c>
      <c r="B35" s="3" t="s">
        <v>67</v>
      </c>
      <c r="C35" s="33" t="s">
        <v>159</v>
      </c>
      <c r="D35" s="11">
        <v>606</v>
      </c>
      <c r="E35" s="11">
        <f>631408/1000</f>
        <v>631.40800000000002</v>
      </c>
      <c r="F35" s="19">
        <f t="shared" si="1"/>
        <v>535.09152542372885</v>
      </c>
      <c r="G35" s="13" t="s">
        <v>192</v>
      </c>
      <c r="H35" s="19">
        <f>535</f>
        <v>535</v>
      </c>
      <c r="I35" s="19">
        <f>0.364256*1000</f>
        <v>364.25600000000003</v>
      </c>
      <c r="J35" s="15" t="s">
        <v>316</v>
      </c>
      <c r="K35" s="19">
        <f>0.535092*1000</f>
        <v>535.09199999999998</v>
      </c>
      <c r="L35" s="15" t="s">
        <v>354</v>
      </c>
      <c r="M35" s="19">
        <f>0.535092*1000</f>
        <v>535.09199999999998</v>
      </c>
      <c r="N35" s="17" t="s">
        <v>215</v>
      </c>
      <c r="O35" s="19">
        <f>0.057936*1000</f>
        <v>57.936</v>
      </c>
    </row>
    <row r="36" spans="1:15" ht="105" customHeight="1">
      <c r="A36" s="5" t="s">
        <v>68</v>
      </c>
      <c r="B36" s="3" t="s">
        <v>69</v>
      </c>
      <c r="C36" s="33" t="s">
        <v>159</v>
      </c>
      <c r="D36" s="11">
        <f>1063</f>
        <v>1063</v>
      </c>
      <c r="E36" s="11">
        <f>1063</f>
        <v>1063</v>
      </c>
      <c r="F36" s="19">
        <f t="shared" si="1"/>
        <v>900.84745762711873</v>
      </c>
      <c r="G36" s="13" t="s">
        <v>193</v>
      </c>
      <c r="H36" s="19">
        <f t="shared" si="3"/>
        <v>900.84745762711873</v>
      </c>
      <c r="I36" s="19">
        <f>0.602133*1000</f>
        <v>602.13300000000004</v>
      </c>
      <c r="J36" s="15" t="s">
        <v>317</v>
      </c>
      <c r="K36" s="19">
        <f>0.900903*1000</f>
        <v>900.90300000000002</v>
      </c>
      <c r="L36" s="15" t="s">
        <v>355</v>
      </c>
      <c r="M36" s="19">
        <f>0.900903*1000</f>
        <v>900.90300000000002</v>
      </c>
      <c r="N36" s="17" t="s">
        <v>216</v>
      </c>
      <c r="O36" s="19">
        <f>0.057936*1000</f>
        <v>57.936</v>
      </c>
    </row>
    <row r="37" spans="1:15" ht="84" customHeight="1">
      <c r="A37" s="5" t="s">
        <v>70</v>
      </c>
      <c r="B37" s="3" t="s">
        <v>71</v>
      </c>
      <c r="C37" s="33" t="s">
        <v>159</v>
      </c>
      <c r="D37" s="11">
        <f>1303652/1000</f>
        <v>1303.652</v>
      </c>
      <c r="E37" s="11">
        <f>1303652/1000</f>
        <v>1303.652</v>
      </c>
      <c r="F37" s="19">
        <f t="shared" si="1"/>
        <v>1104.7898305084748</v>
      </c>
      <c r="G37" s="13" t="s">
        <v>194</v>
      </c>
      <c r="H37" s="19">
        <f t="shared" si="3"/>
        <v>1104.7898305084748</v>
      </c>
      <c r="I37" s="19">
        <f>0.793553*1000</f>
        <v>793.553</v>
      </c>
      <c r="J37" s="15" t="s">
        <v>318</v>
      </c>
      <c r="K37" s="19">
        <f>1.12479*1000</f>
        <v>1124.79</v>
      </c>
      <c r="L37" s="15" t="s">
        <v>356</v>
      </c>
      <c r="M37" s="19">
        <f>1.12479*1000</f>
        <v>1124.79</v>
      </c>
      <c r="N37" s="17" t="s">
        <v>217</v>
      </c>
      <c r="O37" s="19">
        <f>0.0414*1000</f>
        <v>41.4</v>
      </c>
    </row>
    <row r="38" spans="1:15">
      <c r="A38" s="46" t="s">
        <v>24</v>
      </c>
      <c r="B38" s="46"/>
      <c r="C38" s="22" t="s">
        <v>158</v>
      </c>
      <c r="D38" s="23">
        <f>D15+D16+D17+D18+D19+D20+D21+D22+D23+D24+D25+D26+D27+D28+D29+D30+D31+D32+D33+D34+D35+D36+D37</f>
        <v>23397.508000000002</v>
      </c>
      <c r="E38" s="23">
        <f>E37+E36+E35+E34+E33+E32+E31+E30+E29+E28+E27+E25+E24+E22+E23+E21+E20+E19+E18+E17+E16+E15+E26</f>
        <v>24660.847000000002</v>
      </c>
      <c r="F38" s="23">
        <f>E38/1.18</f>
        <v>20899.022881355933</v>
      </c>
      <c r="G38" s="30" t="s">
        <v>158</v>
      </c>
      <c r="H38" s="23">
        <f>H15+H16+H17+H18+H19+H20+H21+H22+H23+H24+H25+H26+H27+H28+H29+H30+H31+H32+H33+H34+H35+H36+H37</f>
        <v>20898.726271186442</v>
      </c>
      <c r="I38" s="23">
        <f>I15+I16+I17+I18+I19+I20+I21+I22+I23+I24+I25+I26+I27+I28+I29+I30+I31+I32+I33+I34+I35+I36+I37</f>
        <v>15909.263999999999</v>
      </c>
      <c r="J38" s="30" t="s">
        <v>158</v>
      </c>
      <c r="K38" s="23">
        <f>K37+K36+K35+K34+K33+K32+K31+K30+K29+K28+K27+K26+K25+K24+K23+K21+K22+K20+K19+K18+K17+K16+K15</f>
        <v>20919.12</v>
      </c>
      <c r="L38" s="30" t="s">
        <v>158</v>
      </c>
      <c r="M38" s="23">
        <f>M37+M36+M35+M34+M33+M32+M31+M30+M29+M28+M27+M26+M25+M24+M23+M22+M21+M20+M19+M18+M17+M16+M15</f>
        <v>20919.12</v>
      </c>
      <c r="N38" s="30" t="s">
        <v>158</v>
      </c>
      <c r="O38" s="23">
        <f>O37+O36+O35+O34+O33+O32+O31+O30+O29+O28+O27+O26+O25+O24+O23+O22+O21+O20+O19+O18+O17+O16+O15</f>
        <v>1085.3909999999996</v>
      </c>
    </row>
    <row r="39" spans="1:15">
      <c r="A39" s="7" t="s">
        <v>218</v>
      </c>
      <c r="B39" s="47" t="s">
        <v>219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9"/>
    </row>
    <row r="40" spans="1:15" ht="88.5" customHeight="1">
      <c r="A40" s="9" t="s">
        <v>220</v>
      </c>
      <c r="B40" s="3" t="s">
        <v>221</v>
      </c>
      <c r="C40" s="33" t="s">
        <v>159</v>
      </c>
      <c r="D40" s="11">
        <f>1001</f>
        <v>1001</v>
      </c>
      <c r="E40" s="11">
        <f>1001</f>
        <v>1001</v>
      </c>
      <c r="F40" s="11">
        <f>E40/1.18</f>
        <v>848.30508474576277</v>
      </c>
      <c r="G40" s="13" t="s">
        <v>225</v>
      </c>
      <c r="H40" s="19">
        <f>0.847975*1000</f>
        <v>847.97500000000002</v>
      </c>
      <c r="I40" s="19">
        <f>0.407212*1000</f>
        <v>407.21200000000005</v>
      </c>
      <c r="J40" s="15" t="s">
        <v>320</v>
      </c>
      <c r="K40" s="19">
        <f>0.855805*1000</f>
        <v>855.80500000000006</v>
      </c>
      <c r="L40" s="15" t="s">
        <v>357</v>
      </c>
      <c r="M40" s="19">
        <f>0.855805*1000</f>
        <v>855.80500000000006</v>
      </c>
      <c r="N40" s="15" t="s">
        <v>224</v>
      </c>
      <c r="O40" s="19">
        <f>0.013248*1000</f>
        <v>13.247999999999999</v>
      </c>
    </row>
    <row r="41" spans="1:15" ht="92.25" customHeight="1">
      <c r="A41" s="9" t="s">
        <v>222</v>
      </c>
      <c r="B41" s="3" t="s">
        <v>223</v>
      </c>
      <c r="C41" s="33" t="s">
        <v>159</v>
      </c>
      <c r="D41" s="11">
        <f>3101</f>
        <v>3101</v>
      </c>
      <c r="E41" s="11">
        <f>3101</f>
        <v>3101</v>
      </c>
      <c r="F41" s="11">
        <f t="shared" ref="F41" si="5">E41/1.18</f>
        <v>2627.9661016949153</v>
      </c>
      <c r="G41" s="13" t="s">
        <v>226</v>
      </c>
      <c r="H41" s="19">
        <f>2.627981*1000</f>
        <v>2627.9810000000002</v>
      </c>
      <c r="I41" s="19">
        <f>1.747248*1000</f>
        <v>1747.2479999999998</v>
      </c>
      <c r="J41" s="15" t="s">
        <v>319</v>
      </c>
      <c r="K41" s="19">
        <f>3.531125*1000</f>
        <v>3531.125</v>
      </c>
      <c r="L41" s="15" t="s">
        <v>358</v>
      </c>
      <c r="M41" s="19">
        <f>3.531125*1000</f>
        <v>3531.125</v>
      </c>
      <c r="N41" s="15" t="s">
        <v>227</v>
      </c>
      <c r="O41" s="19">
        <f>0.0414*1000</f>
        <v>41.4</v>
      </c>
    </row>
    <row r="42" spans="1:15">
      <c r="A42" s="46" t="s">
        <v>24</v>
      </c>
      <c r="B42" s="46"/>
      <c r="C42" s="22" t="s">
        <v>158</v>
      </c>
      <c r="D42" s="23">
        <f>D40+D41</f>
        <v>4102</v>
      </c>
      <c r="E42" s="23">
        <f>E40+E41</f>
        <v>4102</v>
      </c>
      <c r="F42" s="24">
        <f>E42/1.18</f>
        <v>3476.2711864406783</v>
      </c>
      <c r="G42" s="30" t="s">
        <v>158</v>
      </c>
      <c r="H42" s="23">
        <f>H40+H41</f>
        <v>3475.9560000000001</v>
      </c>
      <c r="I42" s="23">
        <f>I40+I41</f>
        <v>2154.46</v>
      </c>
      <c r="J42" s="30" t="s">
        <v>158</v>
      </c>
      <c r="K42" s="23">
        <f>K40+K41</f>
        <v>4386.93</v>
      </c>
      <c r="L42" s="30" t="s">
        <v>158</v>
      </c>
      <c r="M42" s="23">
        <f>M40+M41</f>
        <v>4386.93</v>
      </c>
      <c r="N42" s="30" t="s">
        <v>158</v>
      </c>
      <c r="O42" s="23">
        <f>O41+O40</f>
        <v>54.647999999999996</v>
      </c>
    </row>
    <row r="43" spans="1:15">
      <c r="A43" s="7" t="s">
        <v>72</v>
      </c>
      <c r="B43" s="47" t="s">
        <v>73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9"/>
    </row>
    <row r="44" spans="1:15" ht="33.75">
      <c r="A44" s="5" t="s">
        <v>74</v>
      </c>
      <c r="B44" s="8" t="s">
        <v>75</v>
      </c>
      <c r="C44" s="33" t="s">
        <v>159</v>
      </c>
      <c r="D44" s="19">
        <f>6635631/1000</f>
        <v>6635.6310000000003</v>
      </c>
      <c r="E44" s="19">
        <f>D44</f>
        <v>6635.6310000000003</v>
      </c>
      <c r="F44" s="19">
        <f>E44/1.18</f>
        <v>5623.4161016949156</v>
      </c>
      <c r="G44" s="13" t="s">
        <v>170</v>
      </c>
      <c r="H44" s="15">
        <f>5623416/1000</f>
        <v>5623.4160000000002</v>
      </c>
      <c r="I44" s="15">
        <f>2247280/1000</f>
        <v>2247.2800000000002</v>
      </c>
      <c r="J44" s="15" t="s">
        <v>359</v>
      </c>
      <c r="K44" s="19">
        <f>5.623416*1000</f>
        <v>5623.4160000000002</v>
      </c>
      <c r="L44" s="15" t="s">
        <v>360</v>
      </c>
      <c r="M44" s="19">
        <f>5.623416*1000</f>
        <v>5623.4160000000002</v>
      </c>
      <c r="N44" s="15" t="s">
        <v>158</v>
      </c>
      <c r="O44" s="15" t="s">
        <v>158</v>
      </c>
    </row>
    <row r="45" spans="1:15">
      <c r="A45" s="46" t="s">
        <v>24</v>
      </c>
      <c r="B45" s="46"/>
      <c r="C45" s="22" t="s">
        <v>158</v>
      </c>
      <c r="D45" s="23">
        <f>D44</f>
        <v>6635.6310000000003</v>
      </c>
      <c r="E45" s="23">
        <f>E44</f>
        <v>6635.6310000000003</v>
      </c>
      <c r="F45" s="23">
        <f>E45/1.18</f>
        <v>5623.4161016949156</v>
      </c>
      <c r="G45" s="30"/>
      <c r="H45" s="23">
        <f>H44</f>
        <v>5623.4160000000002</v>
      </c>
      <c r="I45" s="23">
        <f>I44</f>
        <v>2247.2800000000002</v>
      </c>
      <c r="J45" s="30" t="s">
        <v>158</v>
      </c>
      <c r="K45" s="23">
        <f>K44</f>
        <v>5623.4160000000002</v>
      </c>
      <c r="L45" s="23" t="s">
        <v>158</v>
      </c>
      <c r="M45" s="23">
        <f>M44</f>
        <v>5623.4160000000002</v>
      </c>
      <c r="N45" s="30" t="s">
        <v>158</v>
      </c>
      <c r="O45" s="30" t="s">
        <v>158</v>
      </c>
    </row>
    <row r="46" spans="1:15" ht="16.5" customHeight="1">
      <c r="A46" s="7" t="s">
        <v>76</v>
      </c>
      <c r="B46" s="47" t="s">
        <v>77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9"/>
    </row>
    <row r="47" spans="1:15" ht="56.25" customHeight="1">
      <c r="A47" s="9" t="s">
        <v>78</v>
      </c>
      <c r="B47" s="3" t="s">
        <v>79</v>
      </c>
      <c r="C47" s="33" t="s">
        <v>159</v>
      </c>
      <c r="D47" s="11">
        <f>0.266*1000</f>
        <v>266</v>
      </c>
      <c r="E47" s="11">
        <f>0.266*1000</f>
        <v>266</v>
      </c>
      <c r="F47" s="11">
        <f>E47/1.18</f>
        <v>225.42372881355934</v>
      </c>
      <c r="G47" s="35" t="s">
        <v>228</v>
      </c>
      <c r="H47" s="43">
        <f>D47/1.18</f>
        <v>225.42372881355934</v>
      </c>
      <c r="I47" s="44"/>
      <c r="J47" s="34" t="s">
        <v>408</v>
      </c>
      <c r="K47" s="19">
        <f>H47</f>
        <v>225.42372881355934</v>
      </c>
      <c r="L47" s="15" t="s">
        <v>361</v>
      </c>
      <c r="M47" s="19">
        <f>0.225127*1000</f>
        <v>225.12699999999998</v>
      </c>
      <c r="N47" s="15" t="s">
        <v>158</v>
      </c>
      <c r="O47" s="15" t="s">
        <v>158</v>
      </c>
    </row>
    <row r="48" spans="1:15" ht="36" customHeight="1">
      <c r="A48" s="9" t="s">
        <v>80</v>
      </c>
      <c r="B48" s="3" t="s">
        <v>81</v>
      </c>
      <c r="C48" s="33" t="s">
        <v>159</v>
      </c>
      <c r="D48" s="11">
        <f>0.115*1000</f>
        <v>115</v>
      </c>
      <c r="E48" s="11">
        <f>0.115*1000</f>
        <v>115</v>
      </c>
      <c r="F48" s="11">
        <f>E48/1.18</f>
        <v>97.457627118644069</v>
      </c>
      <c r="G48" s="45"/>
      <c r="H48" s="43">
        <f t="shared" ref="H48:H59" si="6">D48/1.18</f>
        <v>97.457627118644069</v>
      </c>
      <c r="I48" s="44"/>
      <c r="J48" s="34" t="s">
        <v>387</v>
      </c>
      <c r="K48" s="19">
        <f>H48</f>
        <v>97.457627118644069</v>
      </c>
      <c r="L48" s="15" t="s">
        <v>416</v>
      </c>
      <c r="M48" s="19">
        <f>0.097457*1000</f>
        <v>97.457000000000008</v>
      </c>
      <c r="N48" s="15" t="s">
        <v>158</v>
      </c>
      <c r="O48" s="15" t="s">
        <v>158</v>
      </c>
    </row>
    <row r="49" spans="1:15" ht="48" customHeight="1">
      <c r="A49" s="9" t="s">
        <v>82</v>
      </c>
      <c r="B49" s="3" t="s">
        <v>83</v>
      </c>
      <c r="C49" s="33" t="s">
        <v>159</v>
      </c>
      <c r="D49" s="11">
        <f>0.028*1000</f>
        <v>28</v>
      </c>
      <c r="E49" s="11">
        <f>0.028*1000</f>
        <v>28</v>
      </c>
      <c r="F49" s="11">
        <f t="shared" ref="F49:F60" si="7">E49/1.18</f>
        <v>23.728813559322035</v>
      </c>
      <c r="G49" s="36"/>
      <c r="H49" s="43">
        <f t="shared" si="6"/>
        <v>23.728813559322035</v>
      </c>
      <c r="I49" s="44"/>
      <c r="J49" s="34" t="s">
        <v>386</v>
      </c>
      <c r="K49" s="19">
        <f>H49</f>
        <v>23.728813559322035</v>
      </c>
      <c r="L49" s="15" t="s">
        <v>417</v>
      </c>
      <c r="M49" s="19">
        <f>0.023389*1000</f>
        <v>23.388999999999999</v>
      </c>
      <c r="N49" s="15" t="s">
        <v>158</v>
      </c>
      <c r="O49" s="15" t="s">
        <v>158</v>
      </c>
    </row>
    <row r="50" spans="1:15" ht="84" customHeight="1">
      <c r="A50" s="9" t="s">
        <v>84</v>
      </c>
      <c r="B50" s="3" t="s">
        <v>85</v>
      </c>
      <c r="C50" s="33" t="s">
        <v>159</v>
      </c>
      <c r="D50" s="11">
        <f>0.119*1000</f>
        <v>119</v>
      </c>
      <c r="E50" s="11">
        <f>0.119*1000</f>
        <v>119</v>
      </c>
      <c r="F50" s="11">
        <f t="shared" si="7"/>
        <v>100.84745762711864</v>
      </c>
      <c r="G50" s="15" t="s">
        <v>229</v>
      </c>
      <c r="H50" s="43">
        <f t="shared" si="6"/>
        <v>100.84745762711864</v>
      </c>
      <c r="I50" s="44"/>
      <c r="J50" s="34" t="s">
        <v>388</v>
      </c>
      <c r="K50" s="19">
        <f>M50</f>
        <v>101.2</v>
      </c>
      <c r="L50" s="15" t="s">
        <v>329</v>
      </c>
      <c r="M50" s="19">
        <f>0.1012*1000</f>
        <v>101.2</v>
      </c>
      <c r="N50" s="15" t="s">
        <v>158</v>
      </c>
      <c r="O50" s="15" t="s">
        <v>158</v>
      </c>
    </row>
    <row r="51" spans="1:15" ht="99" customHeight="1">
      <c r="A51" s="9" t="s">
        <v>86</v>
      </c>
      <c r="B51" s="3" t="s">
        <v>87</v>
      </c>
      <c r="C51" s="33" t="s">
        <v>159</v>
      </c>
      <c r="D51" s="11">
        <f>0.083*1000</f>
        <v>83</v>
      </c>
      <c r="E51" s="11">
        <f>0.083*1000</f>
        <v>83</v>
      </c>
      <c r="F51" s="11">
        <f t="shared" si="7"/>
        <v>70.33898305084746</v>
      </c>
      <c r="G51" s="35" t="s">
        <v>230</v>
      </c>
      <c r="H51" s="43">
        <f t="shared" si="6"/>
        <v>70.33898305084746</v>
      </c>
      <c r="I51" s="44"/>
      <c r="J51" s="34" t="s">
        <v>392</v>
      </c>
      <c r="K51" s="19">
        <f>H51</f>
        <v>70.33898305084746</v>
      </c>
      <c r="L51" s="15" t="s">
        <v>418</v>
      </c>
      <c r="M51" s="19">
        <f>0.070169*1000</f>
        <v>70.168999999999997</v>
      </c>
      <c r="N51" s="15" t="s">
        <v>158</v>
      </c>
      <c r="O51" s="15" t="s">
        <v>158</v>
      </c>
    </row>
    <row r="52" spans="1:15" ht="60" customHeight="1">
      <c r="A52" s="9" t="s">
        <v>88</v>
      </c>
      <c r="B52" s="3" t="s">
        <v>89</v>
      </c>
      <c r="C52" s="33" t="s">
        <v>159</v>
      </c>
      <c r="D52" s="11">
        <f>0.068*1000</f>
        <v>68</v>
      </c>
      <c r="E52" s="11">
        <f>0.068*1000</f>
        <v>68</v>
      </c>
      <c r="F52" s="11">
        <f t="shared" si="7"/>
        <v>57.627118644067799</v>
      </c>
      <c r="G52" s="36"/>
      <c r="H52" s="43">
        <f t="shared" si="6"/>
        <v>57.627118644067799</v>
      </c>
      <c r="I52" s="44"/>
      <c r="J52" s="34" t="s">
        <v>393</v>
      </c>
      <c r="K52" s="19">
        <f>H52</f>
        <v>57.627118644067799</v>
      </c>
      <c r="L52" s="15" t="s">
        <v>419</v>
      </c>
      <c r="M52" s="19">
        <f>0.057889*1000</f>
        <v>57.889000000000003</v>
      </c>
      <c r="N52" s="15" t="s">
        <v>158</v>
      </c>
      <c r="O52" s="15" t="s">
        <v>158</v>
      </c>
    </row>
    <row r="53" spans="1:15" ht="56.25">
      <c r="A53" s="9" t="s">
        <v>90</v>
      </c>
      <c r="B53" s="3" t="s">
        <v>91</v>
      </c>
      <c r="C53" s="33" t="s">
        <v>159</v>
      </c>
      <c r="D53" s="11">
        <f>0.038*1000</f>
        <v>38</v>
      </c>
      <c r="E53" s="11">
        <f>0.038*1000</f>
        <v>38</v>
      </c>
      <c r="F53" s="11">
        <f t="shared" si="7"/>
        <v>32.203389830508478</v>
      </c>
      <c r="G53" s="15" t="s">
        <v>231</v>
      </c>
      <c r="H53" s="43">
        <f t="shared" si="6"/>
        <v>32.203389830508478</v>
      </c>
      <c r="I53" s="44"/>
      <c r="J53" s="34" t="s">
        <v>394</v>
      </c>
      <c r="K53" s="19">
        <f>M53</f>
        <v>48.241</v>
      </c>
      <c r="L53" s="15" t="s">
        <v>420</v>
      </c>
      <c r="M53" s="19">
        <f>0.048241*1000</f>
        <v>48.241</v>
      </c>
      <c r="N53" s="15" t="s">
        <v>158</v>
      </c>
      <c r="O53" s="15" t="s">
        <v>158</v>
      </c>
    </row>
    <row r="54" spans="1:15" ht="56.25">
      <c r="A54" s="9" t="s">
        <v>92</v>
      </c>
      <c r="B54" s="3" t="s">
        <v>93</v>
      </c>
      <c r="C54" s="33" t="s">
        <v>159</v>
      </c>
      <c r="D54" s="11">
        <f>0.099*1000</f>
        <v>99</v>
      </c>
      <c r="E54" s="11">
        <f>0.099*1000</f>
        <v>99</v>
      </c>
      <c r="F54" s="11">
        <f t="shared" si="7"/>
        <v>83.898305084745772</v>
      </c>
      <c r="G54" s="15" t="s">
        <v>231</v>
      </c>
      <c r="H54" s="43">
        <f t="shared" si="6"/>
        <v>83.898305084745772</v>
      </c>
      <c r="I54" s="44"/>
      <c r="J54" s="34" t="s">
        <v>380</v>
      </c>
      <c r="K54" s="19">
        <f>M54</f>
        <v>83.628999999999991</v>
      </c>
      <c r="L54" s="15" t="s">
        <v>421</v>
      </c>
      <c r="M54" s="19">
        <f>0.083629*1000</f>
        <v>83.628999999999991</v>
      </c>
      <c r="N54" s="15" t="s">
        <v>158</v>
      </c>
      <c r="O54" s="15" t="s">
        <v>158</v>
      </c>
    </row>
    <row r="55" spans="1:15" ht="56.25">
      <c r="A55" s="9" t="s">
        <v>94</v>
      </c>
      <c r="B55" s="3" t="s">
        <v>95</v>
      </c>
      <c r="C55" s="33" t="s">
        <v>159</v>
      </c>
      <c r="D55" s="11">
        <f>0.191*1000</f>
        <v>191</v>
      </c>
      <c r="E55" s="11">
        <f>0.191*1000</f>
        <v>191</v>
      </c>
      <c r="F55" s="11">
        <f t="shared" si="7"/>
        <v>161.86440677966104</v>
      </c>
      <c r="G55" s="15" t="s">
        <v>232</v>
      </c>
      <c r="H55" s="43">
        <f t="shared" si="6"/>
        <v>161.86440677966104</v>
      </c>
      <c r="I55" s="44"/>
      <c r="J55" s="34" t="s">
        <v>384</v>
      </c>
      <c r="K55" s="19">
        <f>H55</f>
        <v>161.86440677966104</v>
      </c>
      <c r="L55" s="15" t="s">
        <v>422</v>
      </c>
      <c r="M55" s="19">
        <f>0.161779*1000</f>
        <v>161.779</v>
      </c>
      <c r="N55" s="15" t="s">
        <v>158</v>
      </c>
      <c r="O55" s="15" t="s">
        <v>158</v>
      </c>
    </row>
    <row r="56" spans="1:15" ht="56.25">
      <c r="A56" s="9" t="s">
        <v>96</v>
      </c>
      <c r="B56" s="3" t="s">
        <v>97</v>
      </c>
      <c r="C56" s="33" t="s">
        <v>159</v>
      </c>
      <c r="D56" s="11">
        <f>0.152*1000</f>
        <v>152</v>
      </c>
      <c r="E56" s="11">
        <f>0.152*1000</f>
        <v>152</v>
      </c>
      <c r="F56" s="11">
        <f t="shared" si="7"/>
        <v>128.81355932203391</v>
      </c>
      <c r="G56" s="15" t="s">
        <v>233</v>
      </c>
      <c r="H56" s="43">
        <f t="shared" si="6"/>
        <v>128.81355932203391</v>
      </c>
      <c r="I56" s="44"/>
      <c r="J56" s="34" t="s">
        <v>391</v>
      </c>
      <c r="K56" s="19">
        <f>H56</f>
        <v>128.81355932203391</v>
      </c>
      <c r="L56" s="15" t="s">
        <v>423</v>
      </c>
      <c r="M56" s="19">
        <f>0.128644*1000</f>
        <v>128.64400000000001</v>
      </c>
      <c r="N56" s="15" t="s">
        <v>158</v>
      </c>
      <c r="O56" s="15" t="s">
        <v>158</v>
      </c>
    </row>
    <row r="57" spans="1:15" ht="101.25">
      <c r="A57" s="9" t="s">
        <v>98</v>
      </c>
      <c r="B57" s="3" t="s">
        <v>99</v>
      </c>
      <c r="C57" s="33" t="s">
        <v>159</v>
      </c>
      <c r="D57" s="11">
        <f>0.117*1000</f>
        <v>117</v>
      </c>
      <c r="E57" s="11">
        <f>0.117*1000</f>
        <v>117</v>
      </c>
      <c r="F57" s="11">
        <f t="shared" si="7"/>
        <v>99.152542372881356</v>
      </c>
      <c r="G57" s="15" t="s">
        <v>234</v>
      </c>
      <c r="H57" s="43">
        <f t="shared" si="6"/>
        <v>99.152542372881356</v>
      </c>
      <c r="I57" s="44"/>
      <c r="J57" s="34" t="s">
        <v>390</v>
      </c>
      <c r="K57" s="19">
        <f>H57</f>
        <v>99.152542372881356</v>
      </c>
      <c r="L57" s="15" t="s">
        <v>424</v>
      </c>
      <c r="M57" s="19">
        <f>0.066271*1000</f>
        <v>66.271000000000001</v>
      </c>
      <c r="N57" s="15" t="s">
        <v>158</v>
      </c>
      <c r="O57" s="15" t="s">
        <v>158</v>
      </c>
    </row>
    <row r="58" spans="1:15" ht="56.25">
      <c r="A58" s="9" t="s">
        <v>100</v>
      </c>
      <c r="B58" s="3" t="s">
        <v>101</v>
      </c>
      <c r="C58" s="33" t="s">
        <v>159</v>
      </c>
      <c r="D58" s="11">
        <f>0.044*1000</f>
        <v>44</v>
      </c>
      <c r="E58" s="11">
        <f>0.044*1000</f>
        <v>44</v>
      </c>
      <c r="F58" s="11">
        <f t="shared" si="7"/>
        <v>37.288135593220339</v>
      </c>
      <c r="G58" s="15" t="s">
        <v>235</v>
      </c>
      <c r="H58" s="43">
        <f t="shared" si="6"/>
        <v>37.288135593220339</v>
      </c>
      <c r="I58" s="44"/>
      <c r="J58" s="34" t="s">
        <v>383</v>
      </c>
      <c r="K58" s="19">
        <f>H58</f>
        <v>37.288135593220339</v>
      </c>
      <c r="L58" s="15" t="s">
        <v>425</v>
      </c>
      <c r="M58" s="19">
        <f>0.037521*1000</f>
        <v>37.521000000000001</v>
      </c>
      <c r="N58" s="15" t="s">
        <v>158</v>
      </c>
      <c r="O58" s="15" t="s">
        <v>158</v>
      </c>
    </row>
    <row r="59" spans="1:15" ht="56.25">
      <c r="A59" s="9" t="s">
        <v>102</v>
      </c>
      <c r="B59" s="3" t="s">
        <v>103</v>
      </c>
      <c r="C59" s="33" t="s">
        <v>159</v>
      </c>
      <c r="D59" s="11">
        <f>0.215*1000</f>
        <v>215</v>
      </c>
      <c r="E59" s="11">
        <f>0.215*1000</f>
        <v>215</v>
      </c>
      <c r="F59" s="11">
        <f t="shared" si="7"/>
        <v>182.20338983050848</v>
      </c>
      <c r="G59" s="15" t="s">
        <v>232</v>
      </c>
      <c r="H59" s="43">
        <f t="shared" si="6"/>
        <v>182.20338983050848</v>
      </c>
      <c r="I59" s="44"/>
      <c r="J59" s="34" t="s">
        <v>382</v>
      </c>
      <c r="K59" s="19">
        <f>H59</f>
        <v>182.20338983050848</v>
      </c>
      <c r="L59" s="15" t="s">
        <v>426</v>
      </c>
      <c r="M59" s="19">
        <f>0.182245*1000</f>
        <v>182.245</v>
      </c>
      <c r="N59" s="15" t="s">
        <v>158</v>
      </c>
      <c r="O59" s="15" t="s">
        <v>158</v>
      </c>
    </row>
    <row r="60" spans="1:15">
      <c r="A60" s="46" t="s">
        <v>24</v>
      </c>
      <c r="B60" s="46"/>
      <c r="C60" s="22" t="s">
        <v>158</v>
      </c>
      <c r="D60" s="23">
        <f>D59+D58+D57+D56+D55+D54+D53+D51+D52+D50+D49+D48+D47</f>
        <v>1535</v>
      </c>
      <c r="E60" s="23">
        <f>E59+E58+E57+E56+E55+E54+E53+E51+E52+E50+E49+E48+E47</f>
        <v>1535</v>
      </c>
      <c r="F60" s="24">
        <f t="shared" si="7"/>
        <v>1300.8474576271187</v>
      </c>
      <c r="G60" s="30" t="s">
        <v>158</v>
      </c>
      <c r="H60" s="41">
        <f>H59+H58+H57+H56+H55+H54+H53+H52+H51+H50+H49+H48+H47</f>
        <v>1300.8474576271187</v>
      </c>
      <c r="I60" s="42"/>
      <c r="J60" s="30" t="s">
        <v>158</v>
      </c>
      <c r="K60" s="30" t="s">
        <v>158</v>
      </c>
      <c r="L60" s="30" t="s">
        <v>158</v>
      </c>
      <c r="M60" s="23">
        <f>M59+M58+M57+M56+M55+M54+M53+M52+M51+M50+M49+M48+M47</f>
        <v>1283.5610000000001</v>
      </c>
      <c r="N60" s="30" t="s">
        <v>158</v>
      </c>
      <c r="O60" s="30" t="s">
        <v>158</v>
      </c>
    </row>
    <row r="61" spans="1:15">
      <c r="A61" s="46" t="s">
        <v>241</v>
      </c>
      <c r="B61" s="46"/>
      <c r="C61" s="32"/>
      <c r="D61" s="31">
        <f>D13+D38+D42+D45+D60</f>
        <v>59959.644000000008</v>
      </c>
      <c r="E61" s="31">
        <f>E60+E45+E42+E38+E13</f>
        <v>59959.868000000002</v>
      </c>
      <c r="F61" s="31">
        <f>E61/1.18</f>
        <v>50813.447457627124</v>
      </c>
      <c r="G61" s="31"/>
      <c r="H61" s="31">
        <f>H13+H38+H42+H45+H60</f>
        <v>49671.960728813559</v>
      </c>
      <c r="I61" s="31">
        <f>I13+I38+I42+I45+H60</f>
        <v>32394.664457627117</v>
      </c>
      <c r="J61" s="31" t="s">
        <v>158</v>
      </c>
      <c r="K61" s="31" t="s">
        <v>158</v>
      </c>
      <c r="L61" s="31" t="s">
        <v>158</v>
      </c>
      <c r="M61" s="31">
        <f>M60+M45+M42+M38+M13</f>
        <v>51842.963000000003</v>
      </c>
      <c r="N61" s="31" t="s">
        <v>158</v>
      </c>
      <c r="O61" s="31">
        <f>O13+O38+O42</f>
        <v>1751.9309999999994</v>
      </c>
    </row>
    <row r="62" spans="1:15" ht="25.5" customHeight="1">
      <c r="A62" s="10" t="s">
        <v>104</v>
      </c>
      <c r="B62" s="47" t="s">
        <v>291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9"/>
    </row>
    <row r="63" spans="1:15" ht="75" customHeight="1">
      <c r="A63" s="9" t="s">
        <v>105</v>
      </c>
      <c r="B63" s="3" t="s">
        <v>106</v>
      </c>
      <c r="C63" s="33" t="s">
        <v>160</v>
      </c>
      <c r="D63" s="19">
        <v>0</v>
      </c>
      <c r="E63" s="19">
        <v>0</v>
      </c>
      <c r="F63" s="19">
        <v>0</v>
      </c>
      <c r="G63" s="13" t="s">
        <v>236</v>
      </c>
      <c r="H63" s="19">
        <f>1.476623*1000</f>
        <v>1476.623</v>
      </c>
      <c r="I63" s="19">
        <f>1.0297*1000</f>
        <v>1029.7</v>
      </c>
      <c r="J63" s="15" t="s">
        <v>362</v>
      </c>
      <c r="K63" s="19">
        <f>1448279.81/1000</f>
        <v>1448.27981</v>
      </c>
      <c r="L63" s="15" t="s">
        <v>427</v>
      </c>
      <c r="M63" s="19">
        <f>1.448279*1000</f>
        <v>1448.279</v>
      </c>
      <c r="N63" s="15" t="s">
        <v>158</v>
      </c>
      <c r="O63" s="15" t="s">
        <v>158</v>
      </c>
    </row>
    <row r="64" spans="1:15" ht="76.5" customHeight="1">
      <c r="A64" s="9" t="s">
        <v>107</v>
      </c>
      <c r="B64" s="3" t="s">
        <v>108</v>
      </c>
      <c r="C64" s="33" t="s">
        <v>160</v>
      </c>
      <c r="D64" s="19">
        <v>0</v>
      </c>
      <c r="E64" s="19">
        <v>0</v>
      </c>
      <c r="F64" s="19">
        <v>0</v>
      </c>
      <c r="G64" s="13" t="s">
        <v>237</v>
      </c>
      <c r="H64" s="19">
        <f>0.625659*1000</f>
        <v>625.65899999999999</v>
      </c>
      <c r="I64" s="19">
        <f>0.341368*1000</f>
        <v>341.36799999999999</v>
      </c>
      <c r="J64" s="15" t="s">
        <v>400</v>
      </c>
      <c r="K64" s="19">
        <f>M64</f>
        <v>696.88799999999992</v>
      </c>
      <c r="L64" s="15" t="s">
        <v>286</v>
      </c>
      <c r="M64" s="19">
        <f>0.696888*1000</f>
        <v>696.88799999999992</v>
      </c>
      <c r="N64" s="15" t="s">
        <v>158</v>
      </c>
      <c r="O64" s="15" t="s">
        <v>158</v>
      </c>
    </row>
    <row r="65" spans="1:15" ht="85.5" customHeight="1">
      <c r="A65" s="9" t="s">
        <v>109</v>
      </c>
      <c r="B65" s="3" t="s">
        <v>110</v>
      </c>
      <c r="C65" s="33" t="s">
        <v>160</v>
      </c>
      <c r="D65" s="19">
        <v>0</v>
      </c>
      <c r="E65" s="19">
        <v>0</v>
      </c>
      <c r="F65" s="19">
        <v>0</v>
      </c>
      <c r="G65" s="13" t="s">
        <v>238</v>
      </c>
      <c r="H65" s="19">
        <f>0.706222*1000</f>
        <v>706.22199999999998</v>
      </c>
      <c r="I65" s="19">
        <f>0.346967*1000</f>
        <v>346.96700000000004</v>
      </c>
      <c r="J65" s="15" t="s">
        <v>395</v>
      </c>
      <c r="K65" s="19">
        <f>M65</f>
        <v>674.70900000000006</v>
      </c>
      <c r="L65" s="15" t="s">
        <v>415</v>
      </c>
      <c r="M65" s="19">
        <f>0.674709*1000</f>
        <v>674.70900000000006</v>
      </c>
      <c r="N65" s="15" t="s">
        <v>158</v>
      </c>
      <c r="O65" s="15" t="s">
        <v>158</v>
      </c>
    </row>
    <row r="66" spans="1:15">
      <c r="A66" s="46" t="s">
        <v>24</v>
      </c>
      <c r="B66" s="46"/>
      <c r="C66" s="22" t="s">
        <v>158</v>
      </c>
      <c r="D66" s="23">
        <v>0</v>
      </c>
      <c r="E66" s="23">
        <v>0</v>
      </c>
      <c r="F66" s="23">
        <v>0</v>
      </c>
      <c r="G66" s="30" t="s">
        <v>158</v>
      </c>
      <c r="H66" s="23">
        <f>H65+H64+H63</f>
        <v>2808.5039999999999</v>
      </c>
      <c r="I66" s="23">
        <f>I65+I64+I63</f>
        <v>1718.0350000000001</v>
      </c>
      <c r="J66" s="15" t="s">
        <v>158</v>
      </c>
      <c r="K66" s="15" t="s">
        <v>158</v>
      </c>
      <c r="L66" s="15" t="s">
        <v>158</v>
      </c>
      <c r="M66" s="23">
        <f>M63+M64+M65</f>
        <v>2819.8760000000002</v>
      </c>
      <c r="N66" s="15" t="s">
        <v>158</v>
      </c>
      <c r="O66" s="15" t="s">
        <v>158</v>
      </c>
    </row>
    <row r="67" spans="1:15">
      <c r="A67" s="10" t="s">
        <v>111</v>
      </c>
      <c r="B67" s="47" t="s">
        <v>112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9"/>
    </row>
    <row r="68" spans="1:15" ht="74.25" customHeight="1">
      <c r="A68" s="9" t="s">
        <v>113</v>
      </c>
      <c r="B68" s="3" t="s">
        <v>114</v>
      </c>
      <c r="C68" s="33" t="s">
        <v>161</v>
      </c>
      <c r="D68" s="19">
        <v>0</v>
      </c>
      <c r="E68" s="19">
        <v>0</v>
      </c>
      <c r="F68" s="19">
        <v>0</v>
      </c>
      <c r="G68" s="15" t="s">
        <v>239</v>
      </c>
      <c r="H68" s="19">
        <f>O68</f>
        <v>1752</v>
      </c>
      <c r="I68" s="15" t="s">
        <v>158</v>
      </c>
      <c r="J68" s="15" t="s">
        <v>158</v>
      </c>
      <c r="K68" s="15" t="s">
        <v>158</v>
      </c>
      <c r="L68" s="15" t="s">
        <v>158</v>
      </c>
      <c r="M68" s="19" t="s">
        <v>158</v>
      </c>
      <c r="N68" s="15" t="s">
        <v>239</v>
      </c>
      <c r="O68" s="19">
        <f>1.752*1000</f>
        <v>1752</v>
      </c>
    </row>
    <row r="69" spans="1:15">
      <c r="A69" s="46" t="s">
        <v>24</v>
      </c>
      <c r="B69" s="46"/>
      <c r="C69" s="22" t="s">
        <v>158</v>
      </c>
      <c r="D69" s="23">
        <v>0</v>
      </c>
      <c r="E69" s="23">
        <v>0</v>
      </c>
      <c r="F69" s="23">
        <v>0</v>
      </c>
      <c r="G69" s="30" t="s">
        <v>158</v>
      </c>
      <c r="H69" s="23">
        <f>H68</f>
        <v>1752</v>
      </c>
      <c r="I69" s="30" t="s">
        <v>158</v>
      </c>
      <c r="J69" s="30" t="s">
        <v>158</v>
      </c>
      <c r="K69" s="30" t="s">
        <v>158</v>
      </c>
      <c r="L69" s="30" t="s">
        <v>158</v>
      </c>
      <c r="M69" s="23" t="s">
        <v>158</v>
      </c>
      <c r="N69" s="30" t="s">
        <v>158</v>
      </c>
      <c r="O69" s="23">
        <f>O68</f>
        <v>1752</v>
      </c>
    </row>
    <row r="70" spans="1:15" ht="20.25" customHeight="1">
      <c r="A70" s="10" t="s">
        <v>115</v>
      </c>
      <c r="B70" s="47" t="s">
        <v>290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9"/>
    </row>
    <row r="71" spans="1:15" ht="56.25">
      <c r="A71" s="9" t="s">
        <v>116</v>
      </c>
      <c r="B71" s="20" t="s">
        <v>117</v>
      </c>
      <c r="C71" s="33" t="s">
        <v>162</v>
      </c>
      <c r="D71" s="19">
        <v>0</v>
      </c>
      <c r="E71" s="19">
        <v>0</v>
      </c>
      <c r="F71" s="19">
        <v>0</v>
      </c>
      <c r="G71" s="35" t="s">
        <v>240</v>
      </c>
      <c r="H71" s="43">
        <f>0.344423*1000</f>
        <v>344.423</v>
      </c>
      <c r="I71" s="44"/>
      <c r="J71" s="15" t="s">
        <v>381</v>
      </c>
      <c r="K71" s="19">
        <f t="shared" ref="K71:K80" si="8">H71</f>
        <v>344.423</v>
      </c>
      <c r="L71" s="15" t="s">
        <v>428</v>
      </c>
      <c r="M71" s="19">
        <f>0.344423*1000</f>
        <v>344.423</v>
      </c>
      <c r="N71" s="15" t="s">
        <v>158</v>
      </c>
      <c r="O71" s="15" t="s">
        <v>158</v>
      </c>
    </row>
    <row r="72" spans="1:15" ht="56.25">
      <c r="A72" s="9" t="s">
        <v>118</v>
      </c>
      <c r="B72" s="20" t="s">
        <v>119</v>
      </c>
      <c r="C72" s="33" t="s">
        <v>162</v>
      </c>
      <c r="D72" s="19">
        <v>0</v>
      </c>
      <c r="E72" s="19">
        <v>0</v>
      </c>
      <c r="F72" s="19">
        <v>0</v>
      </c>
      <c r="G72" s="45"/>
      <c r="H72" s="43">
        <f>0.077176*1000</f>
        <v>77.175999999999988</v>
      </c>
      <c r="I72" s="44"/>
      <c r="J72" s="15" t="s">
        <v>385</v>
      </c>
      <c r="K72" s="19">
        <f t="shared" si="8"/>
        <v>77.175999999999988</v>
      </c>
      <c r="L72" s="15" t="s">
        <v>435</v>
      </c>
      <c r="M72" s="19">
        <f>0.077176*1000</f>
        <v>77.175999999999988</v>
      </c>
      <c r="N72" s="15" t="s">
        <v>158</v>
      </c>
      <c r="O72" s="15" t="s">
        <v>158</v>
      </c>
    </row>
    <row r="73" spans="1:15" ht="56.25">
      <c r="A73" s="9" t="s">
        <v>120</v>
      </c>
      <c r="B73" s="20" t="s">
        <v>121</v>
      </c>
      <c r="C73" s="33" t="s">
        <v>162</v>
      </c>
      <c r="D73" s="19">
        <v>0</v>
      </c>
      <c r="E73" s="19">
        <v>0</v>
      </c>
      <c r="F73" s="19">
        <v>0</v>
      </c>
      <c r="G73" s="45"/>
      <c r="H73" s="43">
        <f>0.116268*1000</f>
        <v>116.268</v>
      </c>
      <c r="I73" s="44"/>
      <c r="J73" s="15" t="s">
        <v>379</v>
      </c>
      <c r="K73" s="19">
        <f t="shared" si="8"/>
        <v>116.268</v>
      </c>
      <c r="L73" s="15" t="s">
        <v>429</v>
      </c>
      <c r="M73" s="19">
        <f>0.116268*1000</f>
        <v>116.268</v>
      </c>
      <c r="N73" s="15" t="s">
        <v>158</v>
      </c>
      <c r="O73" s="15" t="s">
        <v>158</v>
      </c>
    </row>
    <row r="74" spans="1:15" ht="56.25">
      <c r="A74" s="9" t="s">
        <v>122</v>
      </c>
      <c r="B74" s="20" t="s">
        <v>123</v>
      </c>
      <c r="C74" s="33" t="s">
        <v>162</v>
      </c>
      <c r="D74" s="19">
        <v>0</v>
      </c>
      <c r="E74" s="19">
        <v>0</v>
      </c>
      <c r="F74" s="19">
        <v>0</v>
      </c>
      <c r="G74" s="45"/>
      <c r="H74" s="43">
        <f>0.117143*1000</f>
        <v>117.143</v>
      </c>
      <c r="I74" s="44"/>
      <c r="J74" s="15" t="s">
        <v>378</v>
      </c>
      <c r="K74" s="19">
        <f t="shared" si="8"/>
        <v>117.143</v>
      </c>
      <c r="L74" s="15" t="s">
        <v>430</v>
      </c>
      <c r="M74" s="19">
        <f>0.117143*1000</f>
        <v>117.143</v>
      </c>
      <c r="N74" s="15" t="s">
        <v>158</v>
      </c>
      <c r="O74" s="15" t="s">
        <v>158</v>
      </c>
    </row>
    <row r="75" spans="1:15" ht="67.5" customHeight="1">
      <c r="A75" s="9" t="s">
        <v>124</v>
      </c>
      <c r="B75" s="20" t="s">
        <v>125</v>
      </c>
      <c r="C75" s="33" t="s">
        <v>162</v>
      </c>
      <c r="D75" s="19">
        <v>0</v>
      </c>
      <c r="E75" s="19">
        <v>0</v>
      </c>
      <c r="F75" s="19">
        <v>0</v>
      </c>
      <c r="G75" s="45"/>
      <c r="H75" s="43">
        <f>0.1794*1000</f>
        <v>179.4</v>
      </c>
      <c r="I75" s="44"/>
      <c r="J75" s="15" t="s">
        <v>377</v>
      </c>
      <c r="K75" s="19">
        <f t="shared" si="8"/>
        <v>179.4</v>
      </c>
      <c r="L75" s="65" t="s">
        <v>431</v>
      </c>
      <c r="M75" s="19">
        <f>0.1794*1000</f>
        <v>179.4</v>
      </c>
      <c r="N75" s="15" t="s">
        <v>158</v>
      </c>
      <c r="O75" s="15" t="s">
        <v>158</v>
      </c>
    </row>
    <row r="76" spans="1:15" ht="56.25">
      <c r="A76" s="9" t="s">
        <v>126</v>
      </c>
      <c r="B76" s="20" t="s">
        <v>127</v>
      </c>
      <c r="C76" s="33" t="s">
        <v>162</v>
      </c>
      <c r="D76" s="19">
        <v>0</v>
      </c>
      <c r="E76" s="19">
        <v>0</v>
      </c>
      <c r="F76" s="19">
        <v>0</v>
      </c>
      <c r="G76" s="45"/>
      <c r="H76" s="43">
        <f>0.087515*1000</f>
        <v>87.515000000000001</v>
      </c>
      <c r="I76" s="44"/>
      <c r="J76" s="15" t="s">
        <v>377</v>
      </c>
      <c r="K76" s="19">
        <f t="shared" si="8"/>
        <v>87.515000000000001</v>
      </c>
      <c r="L76" s="15" t="s">
        <v>432</v>
      </c>
      <c r="M76" s="19">
        <f>0.087515*1000</f>
        <v>87.515000000000001</v>
      </c>
      <c r="N76" s="15" t="s">
        <v>158</v>
      </c>
      <c r="O76" s="15" t="s">
        <v>158</v>
      </c>
    </row>
    <row r="77" spans="1:15" ht="56.25">
      <c r="A77" s="9" t="s">
        <v>128</v>
      </c>
      <c r="B77" s="20" t="s">
        <v>129</v>
      </c>
      <c r="C77" s="33" t="s">
        <v>162</v>
      </c>
      <c r="D77" s="19">
        <v>0</v>
      </c>
      <c r="E77" s="19">
        <v>0</v>
      </c>
      <c r="F77" s="19">
        <v>0</v>
      </c>
      <c r="G77" s="45"/>
      <c r="H77" s="43">
        <f>0.045732*1000</f>
        <v>45.731999999999999</v>
      </c>
      <c r="I77" s="44"/>
      <c r="J77" s="15" t="s">
        <v>376</v>
      </c>
      <c r="K77" s="19">
        <f t="shared" si="8"/>
        <v>45.731999999999999</v>
      </c>
      <c r="L77" s="15" t="s">
        <v>433</v>
      </c>
      <c r="M77" s="19">
        <f>0.045732*1000</f>
        <v>45.731999999999999</v>
      </c>
      <c r="N77" s="15" t="s">
        <v>158</v>
      </c>
      <c r="O77" s="15" t="s">
        <v>158</v>
      </c>
    </row>
    <row r="78" spans="1:15" ht="56.25">
      <c r="A78" s="9" t="s">
        <v>130</v>
      </c>
      <c r="B78" s="20" t="s">
        <v>131</v>
      </c>
      <c r="C78" s="33" t="s">
        <v>162</v>
      </c>
      <c r="D78" s="19">
        <v>0</v>
      </c>
      <c r="E78" s="19">
        <v>0</v>
      </c>
      <c r="F78" s="19">
        <v>0</v>
      </c>
      <c r="G78" s="45"/>
      <c r="H78" s="43">
        <f>0.073108*1000</f>
        <v>73.108000000000004</v>
      </c>
      <c r="I78" s="44"/>
      <c r="J78" s="15" t="s">
        <v>375</v>
      </c>
      <c r="K78" s="19">
        <f t="shared" si="8"/>
        <v>73.108000000000004</v>
      </c>
      <c r="L78" s="15" t="s">
        <v>436</v>
      </c>
      <c r="M78" s="19">
        <f>0.073108*1000</f>
        <v>73.108000000000004</v>
      </c>
      <c r="N78" s="15" t="s">
        <v>158</v>
      </c>
      <c r="O78" s="15" t="s">
        <v>158</v>
      </c>
    </row>
    <row r="79" spans="1:15" ht="51" customHeight="1">
      <c r="A79" s="9" t="s">
        <v>132</v>
      </c>
      <c r="B79" s="20" t="s">
        <v>133</v>
      </c>
      <c r="C79" s="33" t="s">
        <v>162</v>
      </c>
      <c r="D79" s="19">
        <v>0</v>
      </c>
      <c r="E79" s="19">
        <v>0</v>
      </c>
      <c r="F79" s="19">
        <v>0</v>
      </c>
      <c r="G79" s="45"/>
      <c r="H79" s="43">
        <f>0.131567*1000</f>
        <v>131.56699999999998</v>
      </c>
      <c r="I79" s="44"/>
      <c r="J79" s="15" t="s">
        <v>374</v>
      </c>
      <c r="K79" s="19">
        <f t="shared" si="8"/>
        <v>131.56699999999998</v>
      </c>
      <c r="L79" s="15" t="s">
        <v>437</v>
      </c>
      <c r="M79" s="19">
        <f>0.131567*1000</f>
        <v>131.56699999999998</v>
      </c>
      <c r="N79" s="15" t="s">
        <v>158</v>
      </c>
      <c r="O79" s="15" t="s">
        <v>158</v>
      </c>
    </row>
    <row r="80" spans="1:15" ht="56.25">
      <c r="A80" s="9" t="s">
        <v>134</v>
      </c>
      <c r="B80" s="20" t="s">
        <v>135</v>
      </c>
      <c r="C80" s="33" t="s">
        <v>162</v>
      </c>
      <c r="D80" s="19">
        <v>0</v>
      </c>
      <c r="E80" s="19">
        <v>0</v>
      </c>
      <c r="F80" s="19">
        <v>0</v>
      </c>
      <c r="G80" s="45"/>
      <c r="H80" s="43">
        <f>0.043455*1000</f>
        <v>43.454999999999998</v>
      </c>
      <c r="I80" s="44"/>
      <c r="J80" s="15" t="s">
        <v>373</v>
      </c>
      <c r="K80" s="19">
        <f t="shared" si="8"/>
        <v>43.454999999999998</v>
      </c>
      <c r="L80" s="15" t="s">
        <v>434</v>
      </c>
      <c r="M80" s="19">
        <f>0.043455*1000</f>
        <v>43.454999999999998</v>
      </c>
      <c r="N80" s="15" t="s">
        <v>158</v>
      </c>
      <c r="O80" s="15" t="s">
        <v>158</v>
      </c>
    </row>
    <row r="81" spans="1:15" ht="67.5">
      <c r="A81" s="9" t="s">
        <v>136</v>
      </c>
      <c r="B81" s="20" t="s">
        <v>137</v>
      </c>
      <c r="C81" s="33" t="s">
        <v>162</v>
      </c>
      <c r="D81" s="19">
        <v>0</v>
      </c>
      <c r="E81" s="19">
        <v>0</v>
      </c>
      <c r="F81" s="19">
        <v>0</v>
      </c>
      <c r="G81" s="45"/>
      <c r="H81" s="43">
        <f>0.137288*1000</f>
        <v>137.28799999999998</v>
      </c>
      <c r="I81" s="44"/>
      <c r="J81" s="15" t="s">
        <v>372</v>
      </c>
      <c r="K81" s="19">
        <f>137288.14/1000</f>
        <v>137.28814000000003</v>
      </c>
      <c r="L81" s="15" t="s">
        <v>438</v>
      </c>
      <c r="M81" s="19">
        <f>0.137288*1000</f>
        <v>137.28799999999998</v>
      </c>
      <c r="N81" s="15" t="s">
        <v>158</v>
      </c>
      <c r="O81" s="15" t="s">
        <v>158</v>
      </c>
    </row>
    <row r="82" spans="1:15" ht="56.25">
      <c r="A82" s="9" t="s">
        <v>138</v>
      </c>
      <c r="B82" s="20" t="s">
        <v>139</v>
      </c>
      <c r="C82" s="33" t="s">
        <v>162</v>
      </c>
      <c r="D82" s="19">
        <v>0</v>
      </c>
      <c r="E82" s="19">
        <v>0</v>
      </c>
      <c r="F82" s="19">
        <v>0</v>
      </c>
      <c r="G82" s="45"/>
      <c r="H82" s="43">
        <f>0.041822*1000</f>
        <v>41.821999999999996</v>
      </c>
      <c r="I82" s="44"/>
      <c r="J82" s="15" t="s">
        <v>371</v>
      </c>
      <c r="K82" s="19">
        <f>41822.97/1000</f>
        <v>41.822969999999998</v>
      </c>
      <c r="L82" s="15" t="s">
        <v>439</v>
      </c>
      <c r="M82" s="19">
        <f>0.041822*1000</f>
        <v>41.821999999999996</v>
      </c>
      <c r="N82" s="15" t="s">
        <v>158</v>
      </c>
      <c r="O82" s="15" t="s">
        <v>158</v>
      </c>
    </row>
    <row r="83" spans="1:15" ht="56.25">
      <c r="A83" s="9" t="s">
        <v>140</v>
      </c>
      <c r="B83" s="20" t="s">
        <v>141</v>
      </c>
      <c r="C83" s="33" t="s">
        <v>162</v>
      </c>
      <c r="D83" s="19">
        <v>0</v>
      </c>
      <c r="E83" s="19">
        <v>0</v>
      </c>
      <c r="F83" s="19">
        <v>0</v>
      </c>
      <c r="G83" s="45"/>
      <c r="H83" s="43">
        <f>0.046585*1000</f>
        <v>46.585000000000001</v>
      </c>
      <c r="I83" s="44"/>
      <c r="J83" s="15" t="s">
        <v>370</v>
      </c>
      <c r="K83" s="19">
        <f>46585/1000</f>
        <v>46.585000000000001</v>
      </c>
      <c r="L83" s="15" t="s">
        <v>440</v>
      </c>
      <c r="M83" s="19">
        <f>0.046585*1000</f>
        <v>46.585000000000001</v>
      </c>
      <c r="N83" s="15" t="s">
        <v>158</v>
      </c>
      <c r="O83" s="15" t="s">
        <v>158</v>
      </c>
    </row>
    <row r="84" spans="1:15" ht="69" customHeight="1">
      <c r="A84" s="9" t="s">
        <v>142</v>
      </c>
      <c r="B84" s="20" t="s">
        <v>143</v>
      </c>
      <c r="C84" s="33" t="s">
        <v>162</v>
      </c>
      <c r="D84" s="19">
        <v>0</v>
      </c>
      <c r="E84" s="19">
        <v>0</v>
      </c>
      <c r="F84" s="19">
        <v>0</v>
      </c>
      <c r="G84" s="45"/>
      <c r="H84" s="43">
        <f>0.041644*1000</f>
        <v>41.643999999999998</v>
      </c>
      <c r="I84" s="44"/>
      <c r="J84" s="15" t="s">
        <v>369</v>
      </c>
      <c r="K84" s="19">
        <f>41644.07/1000</f>
        <v>41.644069999999999</v>
      </c>
      <c r="L84" s="15" t="s">
        <v>441</v>
      </c>
      <c r="M84" s="19">
        <f>0.041644*1000</f>
        <v>41.643999999999998</v>
      </c>
      <c r="N84" s="15" t="s">
        <v>158</v>
      </c>
      <c r="O84" s="15" t="s">
        <v>158</v>
      </c>
    </row>
    <row r="85" spans="1:15" ht="92.25" customHeight="1">
      <c r="A85" s="9" t="s">
        <v>144</v>
      </c>
      <c r="B85" s="20" t="s">
        <v>145</v>
      </c>
      <c r="C85" s="33" t="s">
        <v>162</v>
      </c>
      <c r="D85" s="19">
        <v>0</v>
      </c>
      <c r="E85" s="19">
        <v>0</v>
      </c>
      <c r="F85" s="19">
        <v>0</v>
      </c>
      <c r="G85" s="45"/>
      <c r="H85" s="43">
        <f>0.093145*1000</f>
        <v>93.14500000000001</v>
      </c>
      <c r="I85" s="44"/>
      <c r="J85" s="15" t="s">
        <v>368</v>
      </c>
      <c r="K85" s="19">
        <f>93145/1000</f>
        <v>93.144999999999996</v>
      </c>
      <c r="L85" s="15" t="s">
        <v>442</v>
      </c>
      <c r="M85" s="19">
        <f>0.93145*1000</f>
        <v>931.45</v>
      </c>
      <c r="N85" s="15" t="s">
        <v>158</v>
      </c>
      <c r="O85" s="15" t="s">
        <v>158</v>
      </c>
    </row>
    <row r="86" spans="1:15" ht="56.25">
      <c r="A86" s="9" t="s">
        <v>146</v>
      </c>
      <c r="B86" s="20" t="s">
        <v>147</v>
      </c>
      <c r="C86" s="33" t="s">
        <v>162</v>
      </c>
      <c r="D86" s="19">
        <v>0</v>
      </c>
      <c r="E86" s="19">
        <v>0</v>
      </c>
      <c r="F86" s="19">
        <v>0</v>
      </c>
      <c r="G86" s="45"/>
      <c r="H86" s="43">
        <f>0.022842*1000</f>
        <v>22.842000000000002</v>
      </c>
      <c r="I86" s="44"/>
      <c r="J86" s="15" t="s">
        <v>367</v>
      </c>
      <c r="K86" s="19">
        <f>22842/1000</f>
        <v>22.841999999999999</v>
      </c>
      <c r="L86" s="15" t="s">
        <v>446</v>
      </c>
      <c r="M86" s="19">
        <f>0.022842*1000</f>
        <v>22.842000000000002</v>
      </c>
      <c r="N86" s="15" t="s">
        <v>158</v>
      </c>
      <c r="O86" s="15" t="s">
        <v>158</v>
      </c>
    </row>
    <row r="87" spans="1:15" ht="56.25">
      <c r="A87" s="9" t="s">
        <v>148</v>
      </c>
      <c r="B87" s="20" t="s">
        <v>149</v>
      </c>
      <c r="C87" s="33" t="s">
        <v>162</v>
      </c>
      <c r="D87" s="19">
        <v>0</v>
      </c>
      <c r="E87" s="19">
        <v>0</v>
      </c>
      <c r="F87" s="19">
        <v>0</v>
      </c>
      <c r="G87" s="45"/>
      <c r="H87" s="43">
        <f>0.09306*1000</f>
        <v>93.06</v>
      </c>
      <c r="I87" s="44"/>
      <c r="J87" s="35" t="s">
        <v>389</v>
      </c>
      <c r="K87" s="19">
        <f>H87</f>
        <v>93.06</v>
      </c>
      <c r="L87" s="15" t="s">
        <v>447</v>
      </c>
      <c r="M87" s="19">
        <f>0.09306*1000</f>
        <v>93.06</v>
      </c>
      <c r="N87" s="15" t="s">
        <v>158</v>
      </c>
      <c r="O87" s="15" t="s">
        <v>158</v>
      </c>
    </row>
    <row r="88" spans="1:15" ht="56.25">
      <c r="A88" s="9" t="s">
        <v>150</v>
      </c>
      <c r="B88" s="20" t="s">
        <v>151</v>
      </c>
      <c r="C88" s="33" t="s">
        <v>162</v>
      </c>
      <c r="D88" s="19">
        <v>0</v>
      </c>
      <c r="E88" s="19">
        <v>0</v>
      </c>
      <c r="F88" s="19">
        <v>0</v>
      </c>
      <c r="G88" s="45"/>
      <c r="H88" s="43">
        <f>0.227149*1000</f>
        <v>227.149</v>
      </c>
      <c r="I88" s="44"/>
      <c r="J88" s="36"/>
      <c r="K88" s="19">
        <f>H88</f>
        <v>227.149</v>
      </c>
      <c r="L88" s="15" t="s">
        <v>448</v>
      </c>
      <c r="M88" s="19">
        <f>0.227149*1000</f>
        <v>227.149</v>
      </c>
      <c r="N88" s="15" t="s">
        <v>158</v>
      </c>
      <c r="O88" s="15" t="s">
        <v>158</v>
      </c>
    </row>
    <row r="89" spans="1:15" ht="61.5" customHeight="1">
      <c r="A89" s="9" t="s">
        <v>152</v>
      </c>
      <c r="B89" s="20" t="s">
        <v>153</v>
      </c>
      <c r="C89" s="33" t="s">
        <v>162</v>
      </c>
      <c r="D89" s="19">
        <v>0</v>
      </c>
      <c r="E89" s="19">
        <v>0</v>
      </c>
      <c r="F89" s="19">
        <v>0</v>
      </c>
      <c r="G89" s="45"/>
      <c r="H89" s="43">
        <f>0.04653*1000</f>
        <v>46.53</v>
      </c>
      <c r="I89" s="44"/>
      <c r="J89" s="15" t="s">
        <v>366</v>
      </c>
      <c r="K89" s="19">
        <f>46530/1000</f>
        <v>46.53</v>
      </c>
      <c r="L89" s="15" t="s">
        <v>443</v>
      </c>
      <c r="M89" s="19">
        <f>0.04653*1000</f>
        <v>46.53</v>
      </c>
      <c r="N89" s="15" t="s">
        <v>158</v>
      </c>
      <c r="O89" s="15" t="s">
        <v>158</v>
      </c>
    </row>
    <row r="90" spans="1:15" ht="56.25">
      <c r="A90" s="9" t="s">
        <v>154</v>
      </c>
      <c r="B90" s="20" t="s">
        <v>155</v>
      </c>
      <c r="C90" s="33" t="s">
        <v>162</v>
      </c>
      <c r="D90" s="19">
        <v>0</v>
      </c>
      <c r="E90" s="19">
        <v>0</v>
      </c>
      <c r="F90" s="19">
        <v>0</v>
      </c>
      <c r="G90" s="45"/>
      <c r="H90" s="43">
        <f>0.0429*1000</f>
        <v>42.9</v>
      </c>
      <c r="I90" s="44"/>
      <c r="J90" s="15" t="s">
        <v>365</v>
      </c>
      <c r="K90" s="19">
        <f>42900/1000</f>
        <v>42.9</v>
      </c>
      <c r="L90" s="15" t="s">
        <v>444</v>
      </c>
      <c r="M90" s="19">
        <f>0.0429*1000</f>
        <v>42.9</v>
      </c>
      <c r="N90" s="15" t="s">
        <v>158</v>
      </c>
      <c r="O90" s="15" t="s">
        <v>158</v>
      </c>
    </row>
    <row r="91" spans="1:15" ht="56.25">
      <c r="A91" s="9" t="s">
        <v>156</v>
      </c>
      <c r="B91" s="20" t="s">
        <v>157</v>
      </c>
      <c r="C91" s="33" t="s">
        <v>162</v>
      </c>
      <c r="D91" s="19">
        <v>0</v>
      </c>
      <c r="E91" s="19">
        <v>0</v>
      </c>
      <c r="F91" s="19">
        <v>0</v>
      </c>
      <c r="G91" s="36"/>
      <c r="H91" s="43">
        <f>0.034845*1000</f>
        <v>34.844999999999999</v>
      </c>
      <c r="I91" s="44"/>
      <c r="J91" s="15" t="s">
        <v>364</v>
      </c>
      <c r="K91" s="19">
        <f>34845/1000</f>
        <v>34.844999999999999</v>
      </c>
      <c r="L91" s="15" t="s">
        <v>445</v>
      </c>
      <c r="M91" s="19">
        <f>0.034845*1000</f>
        <v>34.844999999999999</v>
      </c>
      <c r="N91" s="15" t="s">
        <v>158</v>
      </c>
      <c r="O91" s="15" t="s">
        <v>158</v>
      </c>
    </row>
    <row r="92" spans="1:15">
      <c r="A92" s="46" t="s">
        <v>24</v>
      </c>
      <c r="B92" s="46"/>
      <c r="C92" s="22" t="s">
        <v>158</v>
      </c>
      <c r="D92" s="19">
        <v>0</v>
      </c>
      <c r="E92" s="19">
        <v>0</v>
      </c>
      <c r="F92" s="19">
        <v>0</v>
      </c>
      <c r="G92" s="30" t="s">
        <v>158</v>
      </c>
      <c r="H92" s="41">
        <f>H91+H90+H89+H88+H87+H86+H85+H84+H83+H82+H81+H80+H79+H78+H77+H76+H75+H74+H73+H72+H71</f>
        <v>2043.5970000000002</v>
      </c>
      <c r="I92" s="42"/>
      <c r="J92" s="15" t="s">
        <v>158</v>
      </c>
      <c r="K92" s="15" t="s">
        <v>158</v>
      </c>
      <c r="L92" s="15" t="s">
        <v>158</v>
      </c>
      <c r="M92" s="23">
        <f>M91+M90+M89+M88+M87+M86+M85+M84+M83+M82+M81+M80+M79+M78+M77+M76+M75+M74+M73+M72+M71</f>
        <v>2881.902</v>
      </c>
      <c r="N92" s="15" t="s">
        <v>158</v>
      </c>
      <c r="O92" s="15" t="s">
        <v>158</v>
      </c>
    </row>
    <row r="93" spans="1:15" ht="30.75" customHeight="1">
      <c r="A93" s="22" t="s">
        <v>242</v>
      </c>
      <c r="B93" s="50" t="s">
        <v>243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2"/>
    </row>
    <row r="94" spans="1:15" ht="78.75">
      <c r="A94" s="9" t="s">
        <v>244</v>
      </c>
      <c r="B94" s="20" t="s">
        <v>257</v>
      </c>
      <c r="C94" s="33" t="s">
        <v>160</v>
      </c>
      <c r="D94" s="19">
        <v>0</v>
      </c>
      <c r="E94" s="19">
        <v>0</v>
      </c>
      <c r="F94" s="19">
        <v>0</v>
      </c>
      <c r="G94" s="33" t="s">
        <v>270</v>
      </c>
      <c r="H94" s="19">
        <f>0.327408*1000</f>
        <v>327.40799999999996</v>
      </c>
      <c r="I94" s="19">
        <f>0.205378*1000</f>
        <v>205.37800000000001</v>
      </c>
      <c r="J94" s="15" t="s">
        <v>405</v>
      </c>
      <c r="K94" s="19">
        <f>0.37824297*1000</f>
        <v>378.24297000000001</v>
      </c>
      <c r="L94" s="29" t="s">
        <v>283</v>
      </c>
      <c r="M94" s="19">
        <f>0.069817*1000</f>
        <v>69.817000000000007</v>
      </c>
      <c r="N94" s="15" t="s">
        <v>158</v>
      </c>
      <c r="O94" s="15" t="s">
        <v>158</v>
      </c>
    </row>
    <row r="95" spans="1:15" ht="123.75">
      <c r="A95" s="9" t="s">
        <v>245</v>
      </c>
      <c r="B95" s="20" t="s">
        <v>258</v>
      </c>
      <c r="C95" s="33" t="s">
        <v>160</v>
      </c>
      <c r="D95" s="19">
        <v>0</v>
      </c>
      <c r="E95" s="19">
        <v>0</v>
      </c>
      <c r="F95" s="19">
        <v>0</v>
      </c>
      <c r="G95" s="33" t="s">
        <v>271</v>
      </c>
      <c r="H95" s="19">
        <f>0.081304*1000</f>
        <v>81.304000000000002</v>
      </c>
      <c r="I95" s="19">
        <f>0.045635*1000</f>
        <v>45.635000000000005</v>
      </c>
      <c r="J95" s="15" t="s">
        <v>287</v>
      </c>
      <c r="K95" s="19">
        <f>0.079744*1000</f>
        <v>79.744</v>
      </c>
      <c r="L95" s="29" t="s">
        <v>363</v>
      </c>
      <c r="M95" s="19">
        <f>0.237353*1000</f>
        <v>237.35300000000001</v>
      </c>
      <c r="N95" s="15" t="s">
        <v>158</v>
      </c>
      <c r="O95" s="15" t="s">
        <v>158</v>
      </c>
    </row>
    <row r="96" spans="1:15" ht="112.5">
      <c r="A96" s="9" t="s">
        <v>246</v>
      </c>
      <c r="B96" s="20" t="s">
        <v>259</v>
      </c>
      <c r="C96" s="33" t="s">
        <v>160</v>
      </c>
      <c r="D96" s="19">
        <v>0</v>
      </c>
      <c r="E96" s="19">
        <v>0</v>
      </c>
      <c r="F96" s="19">
        <v>0</v>
      </c>
      <c r="G96" s="33" t="s">
        <v>272</v>
      </c>
      <c r="H96" s="19">
        <f>0.050447*1000</f>
        <v>50.446999999999996</v>
      </c>
      <c r="I96" s="19">
        <f>0.026617*1000</f>
        <v>26.616999999999997</v>
      </c>
      <c r="J96" s="15" t="s">
        <v>403</v>
      </c>
      <c r="K96" s="19">
        <f>0.044502*1000</f>
        <v>44.502000000000002</v>
      </c>
      <c r="L96" s="15" t="s">
        <v>414</v>
      </c>
      <c r="M96" s="19">
        <f>0.044502*1000</f>
        <v>44.502000000000002</v>
      </c>
      <c r="N96" s="15" t="s">
        <v>158</v>
      </c>
      <c r="O96" s="15" t="s">
        <v>158</v>
      </c>
    </row>
    <row r="97" spans="1:15" ht="101.25">
      <c r="A97" s="9" t="s">
        <v>247</v>
      </c>
      <c r="B97" s="20" t="s">
        <v>260</v>
      </c>
      <c r="C97" s="33" t="s">
        <v>160</v>
      </c>
      <c r="D97" s="19">
        <v>0</v>
      </c>
      <c r="E97" s="19">
        <v>0</v>
      </c>
      <c r="F97" s="19">
        <v>0</v>
      </c>
      <c r="G97" s="33" t="s">
        <v>273</v>
      </c>
      <c r="H97" s="19">
        <f>0.158236*1000</f>
        <v>158.23599999999999</v>
      </c>
      <c r="I97" s="19">
        <f>0.086305*1000</f>
        <v>86.305000000000007</v>
      </c>
      <c r="J97" s="15" t="s">
        <v>398</v>
      </c>
      <c r="K97" s="19">
        <f>0.203454*1000</f>
        <v>203.45400000000001</v>
      </c>
      <c r="L97" s="15" t="s">
        <v>413</v>
      </c>
      <c r="M97" s="19">
        <f>0.203454*1000</f>
        <v>203.45400000000001</v>
      </c>
      <c r="N97" s="15" t="s">
        <v>158</v>
      </c>
      <c r="O97" s="15" t="s">
        <v>158</v>
      </c>
    </row>
    <row r="98" spans="1:15" ht="101.25">
      <c r="A98" s="9" t="s">
        <v>248</v>
      </c>
      <c r="B98" s="20" t="s">
        <v>261</v>
      </c>
      <c r="C98" s="33" t="s">
        <v>160</v>
      </c>
      <c r="D98" s="19">
        <v>0</v>
      </c>
      <c r="E98" s="19">
        <v>0</v>
      </c>
      <c r="F98" s="19">
        <v>0</v>
      </c>
      <c r="G98" s="33" t="s">
        <v>274</v>
      </c>
      <c r="H98" s="19">
        <f>0.175772*1000</f>
        <v>175.77200000000002</v>
      </c>
      <c r="I98" s="19">
        <f>0.0788*1000</f>
        <v>78.8</v>
      </c>
      <c r="J98" s="15" t="s">
        <v>397</v>
      </c>
      <c r="K98" s="19">
        <f>0.237353*1000</f>
        <v>237.35300000000001</v>
      </c>
      <c r="L98" s="15" t="s">
        <v>284</v>
      </c>
      <c r="M98" s="19">
        <f>0.282261*1000</f>
        <v>282.26099999999997</v>
      </c>
      <c r="N98" s="15" t="s">
        <v>158</v>
      </c>
      <c r="O98" s="15" t="s">
        <v>158</v>
      </c>
    </row>
    <row r="99" spans="1:15" ht="101.25">
      <c r="A99" s="9" t="s">
        <v>249</v>
      </c>
      <c r="B99" s="20" t="s">
        <v>262</v>
      </c>
      <c r="C99" s="33" t="s">
        <v>160</v>
      </c>
      <c r="D99" s="19">
        <v>0</v>
      </c>
      <c r="E99" s="19">
        <v>0</v>
      </c>
      <c r="F99" s="19">
        <v>0</v>
      </c>
      <c r="G99" s="33" t="s">
        <v>275</v>
      </c>
      <c r="H99" s="19">
        <f>0.071944*1000</f>
        <v>71.943999999999988</v>
      </c>
      <c r="I99" s="19">
        <f>0.039254*1000</f>
        <v>39.253999999999998</v>
      </c>
      <c r="J99" s="15" t="s">
        <v>396</v>
      </c>
      <c r="K99" s="19">
        <f>0.093703*1000</f>
        <v>93.702999999999989</v>
      </c>
      <c r="L99" s="15" t="s">
        <v>284</v>
      </c>
      <c r="M99" s="19">
        <f>0.093703*1000</f>
        <v>93.702999999999989</v>
      </c>
      <c r="N99" s="15" t="s">
        <v>158</v>
      </c>
      <c r="O99" s="15" t="s">
        <v>158</v>
      </c>
    </row>
    <row r="100" spans="1:15" ht="101.25">
      <c r="A100" s="9" t="s">
        <v>250</v>
      </c>
      <c r="B100" s="20" t="s">
        <v>263</v>
      </c>
      <c r="C100" s="33" t="s">
        <v>160</v>
      </c>
      <c r="D100" s="19">
        <v>0</v>
      </c>
      <c r="E100" s="19">
        <v>0</v>
      </c>
      <c r="F100" s="19">
        <v>0</v>
      </c>
      <c r="G100" s="33" t="s">
        <v>276</v>
      </c>
      <c r="H100" s="19">
        <f>0.182798*1000</f>
        <v>182.798</v>
      </c>
      <c r="I100" s="19">
        <f>0.116753*1000</f>
        <v>116.753</v>
      </c>
      <c r="J100" s="15" t="s">
        <v>406</v>
      </c>
      <c r="K100" s="19">
        <f>0.244752*1000</f>
        <v>244.75200000000001</v>
      </c>
      <c r="L100" s="15" t="s">
        <v>285</v>
      </c>
      <c r="M100" s="19">
        <f>0.244752*1000</f>
        <v>244.75200000000001</v>
      </c>
      <c r="N100" s="15" t="s">
        <v>158</v>
      </c>
      <c r="O100" s="15" t="s">
        <v>158</v>
      </c>
    </row>
    <row r="101" spans="1:15" ht="112.5">
      <c r="A101" s="9" t="s">
        <v>251</v>
      </c>
      <c r="B101" s="20" t="s">
        <v>264</v>
      </c>
      <c r="C101" s="33" t="s">
        <v>160</v>
      </c>
      <c r="D101" s="19">
        <v>0</v>
      </c>
      <c r="E101" s="19">
        <v>0</v>
      </c>
      <c r="F101" s="19">
        <v>0</v>
      </c>
      <c r="G101" s="33" t="s">
        <v>277</v>
      </c>
      <c r="H101" s="19">
        <f>0.240371*1000</f>
        <v>240.37100000000001</v>
      </c>
      <c r="I101" s="19">
        <f>0.132478*1000</f>
        <v>132.47800000000001</v>
      </c>
      <c r="J101" s="15" t="s">
        <v>288</v>
      </c>
      <c r="K101" s="19">
        <f>0.245055*1000</f>
        <v>245.05500000000001</v>
      </c>
      <c r="L101" s="15" t="s">
        <v>412</v>
      </c>
      <c r="M101" s="19">
        <f>0.248055*1000</f>
        <v>248.05500000000001</v>
      </c>
      <c r="N101" s="15" t="s">
        <v>158</v>
      </c>
      <c r="O101" s="15" t="s">
        <v>158</v>
      </c>
    </row>
    <row r="102" spans="1:15" ht="101.25">
      <c r="A102" s="9" t="s">
        <v>252</v>
      </c>
      <c r="B102" s="20" t="s">
        <v>265</v>
      </c>
      <c r="C102" s="33" t="s">
        <v>160</v>
      </c>
      <c r="D102" s="19">
        <v>0</v>
      </c>
      <c r="E102" s="19">
        <v>0</v>
      </c>
      <c r="F102" s="19">
        <v>0</v>
      </c>
      <c r="G102" s="33" t="s">
        <v>278</v>
      </c>
      <c r="H102" s="19">
        <f>0.051552*1000</f>
        <v>51.552</v>
      </c>
      <c r="I102" s="19">
        <f>0.027821*1000</f>
        <v>27.820999999999998</v>
      </c>
      <c r="J102" s="15" t="s">
        <v>407</v>
      </c>
      <c r="K102" s="19">
        <f>0.069817*1000</f>
        <v>69.817000000000007</v>
      </c>
      <c r="L102" s="15" t="s">
        <v>283</v>
      </c>
      <c r="M102" s="19">
        <f>0.069817*1000</f>
        <v>69.817000000000007</v>
      </c>
      <c r="N102" s="15" t="s">
        <v>158</v>
      </c>
      <c r="O102" s="15" t="s">
        <v>158</v>
      </c>
    </row>
    <row r="103" spans="1:15" ht="90">
      <c r="A103" s="9" t="s">
        <v>253</v>
      </c>
      <c r="B103" s="20" t="s">
        <v>266</v>
      </c>
      <c r="C103" s="33" t="s">
        <v>160</v>
      </c>
      <c r="D103" s="19">
        <v>0</v>
      </c>
      <c r="E103" s="19">
        <v>0</v>
      </c>
      <c r="F103" s="19">
        <v>0</v>
      </c>
      <c r="G103" s="33" t="s">
        <v>279</v>
      </c>
      <c r="H103" s="19">
        <f>0.017989*1000</f>
        <v>17.989000000000001</v>
      </c>
      <c r="I103" s="19">
        <f>0.011064*1000</f>
        <v>11.064</v>
      </c>
      <c r="J103" s="15" t="s">
        <v>399</v>
      </c>
      <c r="K103" s="19">
        <f>0.019078*1000</f>
        <v>19.078000000000003</v>
      </c>
      <c r="L103" s="15" t="s">
        <v>410</v>
      </c>
      <c r="M103" s="19">
        <f>0.019078*1000</f>
        <v>19.078000000000003</v>
      </c>
      <c r="N103" s="15" t="s">
        <v>158</v>
      </c>
      <c r="O103" s="15" t="s">
        <v>158</v>
      </c>
    </row>
    <row r="104" spans="1:15" ht="141.75" customHeight="1">
      <c r="A104" s="9" t="s">
        <v>254</v>
      </c>
      <c r="B104" s="20" t="s">
        <v>267</v>
      </c>
      <c r="C104" s="33" t="s">
        <v>160</v>
      </c>
      <c r="D104" s="19">
        <v>0</v>
      </c>
      <c r="E104" s="19">
        <v>0</v>
      </c>
      <c r="F104" s="19">
        <v>0</v>
      </c>
      <c r="G104" s="33" t="s">
        <v>280</v>
      </c>
      <c r="H104" s="19">
        <f>0.223363*1000</f>
        <v>223.363</v>
      </c>
      <c r="I104" s="19">
        <f>0.10654*1000</f>
        <v>106.53999999999999</v>
      </c>
      <c r="J104" s="15" t="s">
        <v>401</v>
      </c>
      <c r="K104" s="19">
        <f>0.295385*1000</f>
        <v>295.38499999999999</v>
      </c>
      <c r="L104" s="15" t="s">
        <v>411</v>
      </c>
      <c r="M104" s="19">
        <f>0.295385*1000</f>
        <v>295.38499999999999</v>
      </c>
      <c r="N104" s="15" t="s">
        <v>158</v>
      </c>
      <c r="O104" s="15" t="s">
        <v>158</v>
      </c>
    </row>
    <row r="105" spans="1:15" ht="135">
      <c r="A105" s="9" t="s">
        <v>255</v>
      </c>
      <c r="B105" s="20" t="s">
        <v>268</v>
      </c>
      <c r="C105" s="33" t="s">
        <v>160</v>
      </c>
      <c r="D105" s="19">
        <v>0</v>
      </c>
      <c r="E105" s="19">
        <v>0</v>
      </c>
      <c r="F105" s="19">
        <v>0</v>
      </c>
      <c r="G105" s="33" t="s">
        <v>281</v>
      </c>
      <c r="H105" s="19">
        <f>0.037019*1000</f>
        <v>37.019000000000005</v>
      </c>
      <c r="I105" s="19">
        <f>0.020768*1000</f>
        <v>20.767999999999997</v>
      </c>
      <c r="J105" s="15" t="s">
        <v>402</v>
      </c>
      <c r="K105" s="19">
        <f>0.032472*1000</f>
        <v>32.472000000000001</v>
      </c>
      <c r="L105" s="15" t="s">
        <v>409</v>
      </c>
      <c r="M105" s="19">
        <f>0.032472*1000</f>
        <v>32.472000000000001</v>
      </c>
      <c r="N105" s="15" t="s">
        <v>158</v>
      </c>
      <c r="O105" s="15" t="s">
        <v>158</v>
      </c>
    </row>
    <row r="106" spans="1:15" ht="123.75">
      <c r="A106" s="9" t="s">
        <v>256</v>
      </c>
      <c r="B106" s="20" t="s">
        <v>269</v>
      </c>
      <c r="C106" s="33" t="s">
        <v>160</v>
      </c>
      <c r="D106" s="19">
        <v>0</v>
      </c>
      <c r="E106" s="19">
        <v>0</v>
      </c>
      <c r="F106" s="19">
        <v>0</v>
      </c>
      <c r="G106" s="33" t="s">
        <v>282</v>
      </c>
      <c r="H106" s="19">
        <f>0.293393*1000</f>
        <v>293.39300000000003</v>
      </c>
      <c r="I106" s="19">
        <f>0.153378*1000</f>
        <v>153.37799999999999</v>
      </c>
      <c r="J106" s="15" t="s">
        <v>404</v>
      </c>
      <c r="K106" s="19">
        <f>0.362644*1000</f>
        <v>362.64400000000001</v>
      </c>
      <c r="L106" s="15" t="s">
        <v>286</v>
      </c>
      <c r="M106" s="19">
        <f>0.362644*1000</f>
        <v>362.64400000000001</v>
      </c>
      <c r="N106" s="15" t="s">
        <v>158</v>
      </c>
      <c r="O106" s="15" t="s">
        <v>158</v>
      </c>
    </row>
    <row r="107" spans="1:15">
      <c r="A107" s="46" t="s">
        <v>24</v>
      </c>
      <c r="B107" s="46"/>
      <c r="C107" s="22" t="s">
        <v>158</v>
      </c>
      <c r="D107" s="23">
        <v>0</v>
      </c>
      <c r="E107" s="23">
        <v>0</v>
      </c>
      <c r="F107" s="23">
        <v>0</v>
      </c>
      <c r="G107" s="30" t="s">
        <v>158</v>
      </c>
      <c r="H107" s="23">
        <f>H94+H95+H96+H97+H98+H99+H100+H101+H102+H103+H104+H105++H106</f>
        <v>1911.5960000000002</v>
      </c>
      <c r="I107" s="23">
        <f>SUM(I94:I106)</f>
        <v>1050.7909999999999</v>
      </c>
      <c r="J107" s="15" t="s">
        <v>158</v>
      </c>
      <c r="K107" s="15" t="s">
        <v>158</v>
      </c>
      <c r="L107" s="15" t="s">
        <v>158</v>
      </c>
      <c r="M107" s="23">
        <f>SUM(M94:M106)</f>
        <v>2203.2929999999997</v>
      </c>
      <c r="N107" s="15" t="s">
        <v>158</v>
      </c>
      <c r="O107" s="15" t="s">
        <v>158</v>
      </c>
    </row>
    <row r="108" spans="1:15" ht="27" customHeight="1">
      <c r="A108" s="38" t="s">
        <v>324</v>
      </c>
      <c r="B108" s="39"/>
      <c r="C108" s="40"/>
      <c r="D108" s="31">
        <f>D61</f>
        <v>59959.644000000008</v>
      </c>
      <c r="E108" s="31">
        <f>E61</f>
        <v>59959.868000000002</v>
      </c>
      <c r="F108" s="31">
        <f>F61</f>
        <v>50813.447457627124</v>
      </c>
      <c r="G108" s="31" t="s">
        <v>158</v>
      </c>
      <c r="H108" s="57">
        <f>H92+H69+H66+H61+H107</f>
        <v>58187.65772881356</v>
      </c>
      <c r="I108" s="58"/>
      <c r="J108" s="31" t="s">
        <v>158</v>
      </c>
      <c r="K108" s="31" t="s">
        <v>158</v>
      </c>
      <c r="L108" s="31" t="s">
        <v>158</v>
      </c>
      <c r="M108" s="31" t="s">
        <v>158</v>
      </c>
      <c r="N108" s="31" t="s">
        <v>158</v>
      </c>
      <c r="O108" s="31" t="s">
        <v>158</v>
      </c>
    </row>
    <row r="109" spans="1:15" ht="24.75" customHeight="1">
      <c r="B109" s="26" t="s">
        <v>328</v>
      </c>
      <c r="C109" s="27" t="s">
        <v>325</v>
      </c>
      <c r="D109" s="27"/>
      <c r="E109" s="27"/>
      <c r="F109" s="27"/>
      <c r="G109" s="27"/>
      <c r="H109" s="27"/>
      <c r="I109" s="27"/>
      <c r="J109" s="28"/>
      <c r="K109" s="28"/>
      <c r="L109" s="28"/>
    </row>
    <row r="110" spans="1:15">
      <c r="C110" s="27" t="s">
        <v>326</v>
      </c>
      <c r="D110" s="27" t="s">
        <v>327</v>
      </c>
    </row>
    <row r="112" spans="1:15">
      <c r="E112" s="25"/>
      <c r="F112" s="25"/>
      <c r="G112" s="25"/>
      <c r="H112" s="25"/>
      <c r="I112" s="25"/>
    </row>
  </sheetData>
  <mergeCells count="81">
    <mergeCell ref="H108:I108"/>
    <mergeCell ref="G51:G52"/>
    <mergeCell ref="H47:I47"/>
    <mergeCell ref="J4:J5"/>
    <mergeCell ref="K4:K5"/>
    <mergeCell ref="G4:G5"/>
    <mergeCell ref="H4:I4"/>
    <mergeCell ref="B7:O7"/>
    <mergeCell ref="B6:O6"/>
    <mergeCell ref="B14:O14"/>
    <mergeCell ref="B39:O39"/>
    <mergeCell ref="B43:O43"/>
    <mergeCell ref="B46:O46"/>
    <mergeCell ref="F3:F5"/>
    <mergeCell ref="O4:O5"/>
    <mergeCell ref="N3:O3"/>
    <mergeCell ref="A3:A5"/>
    <mergeCell ref="A13:B13"/>
    <mergeCell ref="G47:G49"/>
    <mergeCell ref="E3:E5"/>
    <mergeCell ref="L3:M3"/>
    <mergeCell ref="L4:L5"/>
    <mergeCell ref="M4:M5"/>
    <mergeCell ref="N4:N5"/>
    <mergeCell ref="B3:B5"/>
    <mergeCell ref="C3:C5"/>
    <mergeCell ref="D3:D5"/>
    <mergeCell ref="G3:I3"/>
    <mergeCell ref="J3:K3"/>
    <mergeCell ref="A66:B66"/>
    <mergeCell ref="A69:B69"/>
    <mergeCell ref="A92:B92"/>
    <mergeCell ref="A107:B107"/>
    <mergeCell ref="A38:B38"/>
    <mergeCell ref="A42:B42"/>
    <mergeCell ref="A60:B60"/>
    <mergeCell ref="A61:B61"/>
    <mergeCell ref="A45:B45"/>
    <mergeCell ref="B62:O62"/>
    <mergeCell ref="B70:O70"/>
    <mergeCell ref="B93:O93"/>
    <mergeCell ref="B67:O67"/>
    <mergeCell ref="H59:I59"/>
    <mergeCell ref="H48:I48"/>
    <mergeCell ref="H49:I49"/>
    <mergeCell ref="H50:I50"/>
    <mergeCell ref="H51:I51"/>
    <mergeCell ref="H52:I52"/>
    <mergeCell ref="H53:I53"/>
    <mergeCell ref="H54:I54"/>
    <mergeCell ref="H76:I76"/>
    <mergeCell ref="H82:I82"/>
    <mergeCell ref="H83:I83"/>
    <mergeCell ref="H91:I91"/>
    <mergeCell ref="H55:I55"/>
    <mergeCell ref="H56:I56"/>
    <mergeCell ref="H57:I57"/>
    <mergeCell ref="H58:I58"/>
    <mergeCell ref="H84:I84"/>
    <mergeCell ref="H60:I60"/>
    <mergeCell ref="H77:I77"/>
    <mergeCell ref="H78:I78"/>
    <mergeCell ref="H79:I79"/>
    <mergeCell ref="H80:I80"/>
    <mergeCell ref="H81:I81"/>
    <mergeCell ref="J87:J88"/>
    <mergeCell ref="B1:O1"/>
    <mergeCell ref="A108:C108"/>
    <mergeCell ref="H92:I92"/>
    <mergeCell ref="H85:I85"/>
    <mergeCell ref="H86:I86"/>
    <mergeCell ref="H87:I87"/>
    <mergeCell ref="H88:I88"/>
    <mergeCell ref="H89:I89"/>
    <mergeCell ref="H90:I90"/>
    <mergeCell ref="G71:G91"/>
    <mergeCell ref="H71:I71"/>
    <mergeCell ref="H72:I72"/>
    <mergeCell ref="H73:I73"/>
    <mergeCell ref="H74:I74"/>
    <mergeCell ref="H75:I7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2017-05-04T04:26:36Z</dcterms:modified>
</cp:coreProperties>
</file>